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PETRÓLEO " sheetId="8237" r:id="rId1"/>
    <sheet name="PETRÓLEO 2019-2022" sheetId="8238" r:id="rId2"/>
  </sheets>
  <definedNames>
    <definedName name="_xlnm._FilterDatabase" localSheetId="0" hidden="1">'PETRÓLEO '!$C$10:$HQ$42</definedName>
    <definedName name="_xlnm._FilterDatabase" localSheetId="1" hidden="1">'PETRÓLEO 2019-2022'!$C$10:$D$44</definedName>
    <definedName name="_xlnm.Print_Area" localSheetId="0">'PETRÓLEO '!$B$4:$IS$88</definedName>
    <definedName name="_xlnm.Print_Area" localSheetId="1">'PETRÓLEO 2019-2022'!$B$4:$AT$90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31" i="8238" l="1"/>
  <c r="AS26" i="8238"/>
  <c r="AS42" i="8238"/>
  <c r="AT41" i="8238"/>
  <c r="AT38" i="8238"/>
  <c r="AT37" i="8238"/>
  <c r="AT34" i="8238"/>
  <c r="AT33" i="8238"/>
  <c r="AT30" i="8238"/>
  <c r="AT29" i="8238"/>
  <c r="AT27" i="8238"/>
  <c r="AT25" i="8238"/>
  <c r="AT24" i="8238"/>
  <c r="AT23" i="8238"/>
  <c r="AT22" i="8238"/>
  <c r="AT20" i="8238"/>
  <c r="AT18" i="8238"/>
  <c r="AT17" i="8238"/>
  <c r="AT16" i="8238"/>
  <c r="AT15" i="8238"/>
  <c r="AT14" i="8238"/>
  <c r="AT13" i="8238"/>
  <c r="AT12" i="8238"/>
  <c r="AT11" i="8238"/>
  <c r="AS44" i="8238" l="1"/>
  <c r="AR42" i="8238"/>
  <c r="AR31" i="8238"/>
  <c r="AR26" i="8238"/>
  <c r="AT21" i="8238"/>
  <c r="AT19" i="8238"/>
  <c r="AQ42" i="8238"/>
  <c r="AQ31" i="8238"/>
  <c r="AQ26" i="8238"/>
  <c r="AP42" i="8238"/>
  <c r="AP31" i="8238"/>
  <c r="AP26" i="8238"/>
  <c r="AO42" i="8238"/>
  <c r="AO31" i="8238"/>
  <c r="AO26" i="8238"/>
  <c r="AO44" i="8238" s="1"/>
  <c r="AR44" i="8238" l="1"/>
  <c r="AQ44" i="8238"/>
  <c r="AP44" i="8238"/>
  <c r="AN42" i="8238"/>
  <c r="AN31" i="8238"/>
  <c r="AN26" i="8238"/>
  <c r="AT35" i="8238"/>
  <c r="AT36" i="8238"/>
  <c r="AT39" i="8238"/>
  <c r="AT40" i="8238"/>
  <c r="AT28" i="8238"/>
  <c r="AN44" i="8238" l="1"/>
  <c r="AT26" i="8238"/>
  <c r="AM42" i="8238"/>
  <c r="AM31" i="8238"/>
  <c r="AM26" i="8238"/>
  <c r="AL42" i="8238"/>
  <c r="AL31" i="8238"/>
  <c r="AL26" i="8238"/>
  <c r="AK42" i="8238"/>
  <c r="AK31" i="8238"/>
  <c r="AK26" i="8238"/>
  <c r="AM44" i="8238" l="1"/>
  <c r="AL44" i="8238"/>
  <c r="AK44" i="8238"/>
  <c r="AT42" i="8238"/>
  <c r="AJ26" i="8238"/>
  <c r="AJ31" i="8238"/>
  <c r="AJ42" i="8238"/>
  <c r="AI42" i="8238"/>
  <c r="AI31" i="8238"/>
  <c r="AI26" i="8238"/>
  <c r="AH42" i="8238"/>
  <c r="AH31" i="8238"/>
  <c r="AH26" i="8238"/>
  <c r="AG42" i="8238"/>
  <c r="AG31" i="8238"/>
  <c r="AG26" i="8238"/>
  <c r="AJ44" i="8238" l="1"/>
  <c r="AT31" i="8238"/>
  <c r="AT44" i="8238" s="1"/>
  <c r="AI44" i="8238"/>
  <c r="AH44" i="8238"/>
  <c r="AG44" i="8238"/>
  <c r="AF42" i="8238" l="1"/>
  <c r="AF31" i="8238"/>
  <c r="AF26" i="8238"/>
  <c r="AF44" i="8238" l="1"/>
  <c r="AE31" i="8238" l="1"/>
  <c r="AE42" i="8238" l="1"/>
  <c r="AE26" i="8238"/>
  <c r="AE44" i="8238" l="1"/>
  <c r="AD26" i="8238"/>
  <c r="AD42" i="8238" l="1"/>
  <c r="AD31" i="8238"/>
  <c r="AD44" i="8238" l="1"/>
  <c r="AC26" i="8238"/>
  <c r="AC42" i="8238"/>
  <c r="AC31" i="8238"/>
  <c r="AC44" i="8238" l="1"/>
  <c r="AB42" i="8238"/>
  <c r="AB31" i="8238"/>
  <c r="AB26" i="8238"/>
  <c r="AT32" i="8238"/>
  <c r="AA42" i="8238"/>
  <c r="Z42" i="8238"/>
  <c r="Y42" i="8238"/>
  <c r="X42" i="8238"/>
  <c r="W42" i="8238"/>
  <c r="V42" i="8238"/>
  <c r="U42" i="8238"/>
  <c r="T42" i="8238"/>
  <c r="S42" i="8238"/>
  <c r="R42" i="8238"/>
  <c r="Q42" i="8238"/>
  <c r="P42" i="8238"/>
  <c r="J42" i="8238"/>
  <c r="H42" i="8238"/>
  <c r="G42" i="8238"/>
  <c r="F42" i="8238"/>
  <c r="E42" i="8238"/>
  <c r="O41" i="8238"/>
  <c r="N41" i="8238"/>
  <c r="M41" i="8238"/>
  <c r="L41" i="8238"/>
  <c r="K41" i="8238"/>
  <c r="I41" i="8238"/>
  <c r="O38" i="8238"/>
  <c r="N38" i="8238"/>
  <c r="M38" i="8238"/>
  <c r="L38" i="8238"/>
  <c r="K38" i="8238"/>
  <c r="I38" i="8238"/>
  <c r="O37" i="8238"/>
  <c r="N37" i="8238"/>
  <c r="M37" i="8238"/>
  <c r="L37" i="8238"/>
  <c r="I37" i="8238"/>
  <c r="O34" i="8238"/>
  <c r="N34" i="8238"/>
  <c r="M34" i="8238"/>
  <c r="L34" i="8238"/>
  <c r="K34" i="8238"/>
  <c r="I34" i="8238"/>
  <c r="O33" i="8238"/>
  <c r="N33" i="8238"/>
  <c r="M33" i="8238"/>
  <c r="L33" i="8238"/>
  <c r="K33" i="8238"/>
  <c r="I33" i="8238"/>
  <c r="T32" i="8238"/>
  <c r="S32" i="8238"/>
  <c r="R32" i="8238"/>
  <c r="U32" i="8238" s="1"/>
  <c r="AA31" i="8238"/>
  <c r="Z31" i="8238"/>
  <c r="Y31" i="8238"/>
  <c r="X31" i="8238"/>
  <c r="W31" i="8238"/>
  <c r="V31" i="8238"/>
  <c r="U31" i="8238"/>
  <c r="T31" i="8238"/>
  <c r="S31" i="8238"/>
  <c r="R31" i="8238"/>
  <c r="Q31" i="8238"/>
  <c r="P31" i="8238"/>
  <c r="J31" i="8238"/>
  <c r="H31" i="8238"/>
  <c r="G31" i="8238"/>
  <c r="F31" i="8238"/>
  <c r="E31" i="8238"/>
  <c r="O30" i="8238"/>
  <c r="M30" i="8238"/>
  <c r="L30" i="8238"/>
  <c r="I30" i="8238"/>
  <c r="O27" i="8238"/>
  <c r="N27" i="8238"/>
  <c r="N31" i="8238" s="1"/>
  <c r="M27" i="8238"/>
  <c r="L27" i="8238"/>
  <c r="K27" i="8238"/>
  <c r="K31" i="8238" s="1"/>
  <c r="I27" i="8238"/>
  <c r="AA26" i="8238"/>
  <c r="Z26" i="8238"/>
  <c r="Y26" i="8238"/>
  <c r="X26" i="8238"/>
  <c r="W26" i="8238"/>
  <c r="V26" i="8238"/>
  <c r="U26" i="8238"/>
  <c r="T26" i="8238"/>
  <c r="S26" i="8238"/>
  <c r="R26" i="8238"/>
  <c r="Q26" i="8238"/>
  <c r="P26" i="8238"/>
  <c r="J26" i="8238"/>
  <c r="H26" i="8238"/>
  <c r="G26" i="8238"/>
  <c r="F26" i="8238"/>
  <c r="E26" i="8238"/>
  <c r="O23" i="8238"/>
  <c r="N23" i="8238"/>
  <c r="M23" i="8238"/>
  <c r="L23" i="8238"/>
  <c r="K23" i="8238"/>
  <c r="I23" i="8238"/>
  <c r="O22" i="8238"/>
  <c r="N22" i="8238"/>
  <c r="M22" i="8238"/>
  <c r="L22" i="8238"/>
  <c r="K22" i="8238"/>
  <c r="I22" i="8238"/>
  <c r="O18" i="8238"/>
  <c r="N18" i="8238"/>
  <c r="M18" i="8238"/>
  <c r="L18" i="8238"/>
  <c r="K18" i="8238"/>
  <c r="I18" i="8238"/>
  <c r="O15" i="8238"/>
  <c r="N15" i="8238"/>
  <c r="M15" i="8238"/>
  <c r="L15" i="8238"/>
  <c r="K15" i="8238"/>
  <c r="I15" i="8238"/>
  <c r="IR40" i="8237"/>
  <c r="IR29" i="8237"/>
  <c r="IR24" i="8237"/>
  <c r="IS12" i="8237"/>
  <c r="IS13" i="8237"/>
  <c r="IS14" i="8237"/>
  <c r="IS15" i="8237"/>
  <c r="IS16" i="8237"/>
  <c r="IS17" i="8237"/>
  <c r="IS18" i="8237"/>
  <c r="IS19" i="8237"/>
  <c r="IS20" i="8237"/>
  <c r="IS21" i="8237"/>
  <c r="IS22" i="8237"/>
  <c r="IS23" i="8237"/>
  <c r="IS25" i="8237"/>
  <c r="IS26" i="8237"/>
  <c r="IS27" i="8237"/>
  <c r="IS28" i="8237"/>
  <c r="IS31" i="8237"/>
  <c r="IS32" i="8237"/>
  <c r="IS33" i="8237"/>
  <c r="IS34" i="8237"/>
  <c r="IS35" i="8237"/>
  <c r="IS36" i="8237"/>
  <c r="IS37" i="8237"/>
  <c r="IS38" i="8237"/>
  <c r="IS39" i="8237"/>
  <c r="IS11" i="8237"/>
  <c r="IE14" i="8237"/>
  <c r="IE16" i="8237"/>
  <c r="IE20" i="8237"/>
  <c r="IE21" i="8237"/>
  <c r="IE25" i="8237"/>
  <c r="IE29" i="8237" s="1"/>
  <c r="IE31" i="8237"/>
  <c r="IE32" i="8237"/>
  <c r="IE35" i="8237"/>
  <c r="IE36" i="8237"/>
  <c r="IE39" i="8237"/>
  <c r="IQ24" i="8237"/>
  <c r="IQ29" i="8237"/>
  <c r="IQ40" i="8237"/>
  <c r="IP24" i="8237"/>
  <c r="IP29" i="8237"/>
  <c r="IP40" i="8237"/>
  <c r="IO24" i="8237"/>
  <c r="IO29" i="8237"/>
  <c r="IO40" i="8237"/>
  <c r="IN24" i="8237"/>
  <c r="IN29" i="8237"/>
  <c r="IN40" i="8237"/>
  <c r="IM24" i="8237"/>
  <c r="IM29" i="8237"/>
  <c r="IM40" i="8237"/>
  <c r="IL40" i="8237"/>
  <c r="IL29" i="8237"/>
  <c r="IL24" i="8237"/>
  <c r="IK24" i="8237"/>
  <c r="IK29" i="8237"/>
  <c r="IK30" i="8237"/>
  <c r="IK40" i="8237"/>
  <c r="IJ24" i="8237"/>
  <c r="IJ29" i="8237"/>
  <c r="IJ30" i="8237"/>
  <c r="IM30" i="8237" s="1"/>
  <c r="IP30" i="8237" s="1"/>
  <c r="IJ40" i="8237"/>
  <c r="II40" i="8237"/>
  <c r="II29" i="8237"/>
  <c r="II24" i="8237"/>
  <c r="IH24" i="8237"/>
  <c r="IH29" i="8237"/>
  <c r="II30" i="8237"/>
  <c r="IL30" i="8237" s="1"/>
  <c r="IH40" i="8237"/>
  <c r="IG40" i="8237"/>
  <c r="IG29" i="8237"/>
  <c r="IG24" i="8237"/>
  <c r="IF25" i="8237"/>
  <c r="IF16" i="8237"/>
  <c r="IF32" i="8237"/>
  <c r="IF39" i="8237"/>
  <c r="IF35" i="8237"/>
  <c r="IF28" i="8237"/>
  <c r="IF21" i="8237"/>
  <c r="IF14" i="8237"/>
  <c r="IF31" i="8237"/>
  <c r="IF20" i="8237"/>
  <c r="IF36" i="8237"/>
  <c r="ID25" i="8237"/>
  <c r="ID16" i="8237"/>
  <c r="ID32" i="8237"/>
  <c r="ID39" i="8237"/>
  <c r="ID35" i="8237"/>
  <c r="ID31" i="8237"/>
  <c r="ID28" i="8237"/>
  <c r="ID21" i="8237"/>
  <c r="ID14" i="8237"/>
  <c r="ID20" i="8237"/>
  <c r="ID36" i="8237"/>
  <c r="IC25" i="8237"/>
  <c r="IC16" i="8237"/>
  <c r="IC32" i="8237"/>
  <c r="IC39" i="8237"/>
  <c r="IC35" i="8237"/>
  <c r="IC31" i="8237"/>
  <c r="IC28" i="8237"/>
  <c r="IC21" i="8237"/>
  <c r="IC14" i="8237"/>
  <c r="IC20" i="8237"/>
  <c r="IC36" i="8237"/>
  <c r="IB25" i="8237"/>
  <c r="IB29" i="8237" s="1"/>
  <c r="IB16" i="8237"/>
  <c r="IB32" i="8237"/>
  <c r="IB39" i="8237"/>
  <c r="IB31" i="8237"/>
  <c r="IB21" i="8237"/>
  <c r="IB14" i="8237"/>
  <c r="IB20" i="8237"/>
  <c r="IB36" i="8237"/>
  <c r="IA40" i="8237"/>
  <c r="IA29" i="8237"/>
  <c r="HZ25" i="8237"/>
  <c r="HZ16" i="8237"/>
  <c r="HZ32" i="8237"/>
  <c r="HZ39" i="8237"/>
  <c r="HZ35" i="8237"/>
  <c r="HZ31" i="8237"/>
  <c r="HZ28" i="8237"/>
  <c r="HZ21" i="8237"/>
  <c r="HZ14" i="8237"/>
  <c r="HZ20" i="8237"/>
  <c r="HZ36" i="8237"/>
  <c r="HY40" i="8237"/>
  <c r="HY29" i="8237"/>
  <c r="HY24" i="8237"/>
  <c r="HX40" i="8237"/>
  <c r="HX29" i="8237"/>
  <c r="HX24" i="8237"/>
  <c r="HW24" i="8237"/>
  <c r="HW29" i="8237"/>
  <c r="HW40" i="8237"/>
  <c r="HV24" i="8237"/>
  <c r="HV40" i="8237"/>
  <c r="HJ27" i="8237"/>
  <c r="HK27" i="8237" s="1"/>
  <c r="HV29" i="8237"/>
  <c r="HU40" i="8237"/>
  <c r="HU29" i="8237"/>
  <c r="HU24" i="8237"/>
  <c r="HT38" i="8237"/>
  <c r="HT37" i="8237"/>
  <c r="HS38" i="8237"/>
  <c r="HS37" i="8237"/>
  <c r="HS40" i="8237" s="1"/>
  <c r="HP24" i="8237"/>
  <c r="HR38" i="8237"/>
  <c r="HR37" i="8237"/>
  <c r="HQ26" i="8237"/>
  <c r="HR26" i="8237" s="1"/>
  <c r="HS26" i="8237" s="1"/>
  <c r="HR40" i="8237"/>
  <c r="HQ35" i="8237"/>
  <c r="HQ40" i="8237" s="1"/>
  <c r="HQ17" i="8237"/>
  <c r="HR17" i="8237" s="1"/>
  <c r="HS17" i="8237" s="1"/>
  <c r="HQ19" i="8237"/>
  <c r="HR19" i="8237" s="1"/>
  <c r="HS19" i="8237" s="1"/>
  <c r="HT19" i="8237" s="1"/>
  <c r="HP40" i="8237"/>
  <c r="HO40" i="8237"/>
  <c r="HO24" i="8237"/>
  <c r="HN40" i="8237"/>
  <c r="HN24" i="8237"/>
  <c r="HM40" i="8237"/>
  <c r="HM24" i="8237"/>
  <c r="HQ37" i="8237"/>
  <c r="HQ38" i="8237"/>
  <c r="HL40" i="8237"/>
  <c r="HL24" i="8237"/>
  <c r="HK40" i="8237"/>
  <c r="HK24" i="8237"/>
  <c r="HJ40" i="8237"/>
  <c r="HJ24" i="8237"/>
  <c r="HI40" i="8237"/>
  <c r="HI29" i="8237"/>
  <c r="HI24" i="8237"/>
  <c r="HH40" i="8237"/>
  <c r="HH29" i="8237"/>
  <c r="HH24" i="8237"/>
  <c r="HG40" i="8237"/>
  <c r="HG29" i="8237"/>
  <c r="HG24" i="8237"/>
  <c r="GO40" i="8237"/>
  <c r="GO29" i="8237"/>
  <c r="GO24" i="8237"/>
  <c r="IA24" i="8237"/>
  <c r="IE24" i="8237" l="1"/>
  <c r="IE42" i="8237" s="1"/>
  <c r="IJ42" i="8237"/>
  <c r="IO42" i="8237"/>
  <c r="O31" i="8238"/>
  <c r="HU42" i="8237"/>
  <c r="IB40" i="8237"/>
  <c r="IS29" i="8237"/>
  <c r="IE40" i="8237"/>
  <c r="L26" i="8238"/>
  <c r="GO42" i="8237"/>
  <c r="HX42" i="8237"/>
  <c r="HY42" i="8237"/>
  <c r="HZ24" i="8237"/>
  <c r="IB24" i="8237"/>
  <c r="IB42" i="8237" s="1"/>
  <c r="ID40" i="8237"/>
  <c r="IF40" i="8237"/>
  <c r="IF29" i="8237"/>
  <c r="IN30" i="8237"/>
  <c r="IQ30" i="8237" s="1"/>
  <c r="IS30" i="8237" s="1"/>
  <c r="IL42" i="8237"/>
  <c r="IM42" i="8237"/>
  <c r="IQ42" i="8237"/>
  <c r="I26" i="8238"/>
  <c r="N26" i="8238"/>
  <c r="HT40" i="8237"/>
  <c r="ID29" i="8237"/>
  <c r="H44" i="8238"/>
  <c r="X32" i="8238"/>
  <c r="I31" i="8238"/>
  <c r="HW42" i="8237"/>
  <c r="IG42" i="8237"/>
  <c r="IS24" i="8237"/>
  <c r="HG42" i="8237"/>
  <c r="IP42" i="8237"/>
  <c r="V44" i="8238"/>
  <c r="G44" i="8238"/>
  <c r="W32" i="8238"/>
  <c r="Z44" i="8238"/>
  <c r="Q44" i="8238"/>
  <c r="T44" i="8238"/>
  <c r="X44" i="8238"/>
  <c r="HQ24" i="8237"/>
  <c r="HH42" i="8237"/>
  <c r="HZ29" i="8237"/>
  <c r="HZ40" i="8237"/>
  <c r="IA42" i="8237"/>
  <c r="IC29" i="8237"/>
  <c r="IS40" i="8237"/>
  <c r="HV42" i="8237"/>
  <c r="IH42" i="8237"/>
  <c r="F44" i="8238"/>
  <c r="ID24" i="8237"/>
  <c r="K26" i="8238"/>
  <c r="HI42" i="8237"/>
  <c r="IC40" i="8237"/>
  <c r="IC24" i="8237"/>
  <c r="IF24" i="8237"/>
  <c r="IO30" i="8237"/>
  <c r="II42" i="8237"/>
  <c r="IK42" i="8237"/>
  <c r="IN42" i="8237"/>
  <c r="R44" i="8238"/>
  <c r="M26" i="8238"/>
  <c r="O26" i="8238"/>
  <c r="L31" i="8238"/>
  <c r="I42" i="8238"/>
  <c r="K42" i="8238"/>
  <c r="HS24" i="8237"/>
  <c r="HT17" i="8237"/>
  <c r="HT24" i="8237" s="1"/>
  <c r="HK29" i="8237"/>
  <c r="HK42" i="8237" s="1"/>
  <c r="HL27" i="8237"/>
  <c r="IR42" i="8237"/>
  <c r="HJ29" i="8237"/>
  <c r="HJ42" i="8237" s="1"/>
  <c r="HR24" i="8237"/>
  <c r="HT26" i="8237"/>
  <c r="E44" i="8238"/>
  <c r="J44" i="8238"/>
  <c r="S44" i="8238"/>
  <c r="W44" i="8238"/>
  <c r="O42" i="8238"/>
  <c r="M42" i="8238"/>
  <c r="L42" i="8238"/>
  <c r="M31" i="8238"/>
  <c r="N42" i="8238"/>
  <c r="AA44" i="8238"/>
  <c r="U44" i="8238"/>
  <c r="Y44" i="8238"/>
  <c r="P44" i="8238"/>
  <c r="V32" i="8238"/>
  <c r="Y32" i="8238" s="1"/>
  <c r="AB44" i="8238"/>
  <c r="I44" i="8238" l="1"/>
  <c r="IS42" i="8237"/>
  <c r="IF42" i="8237"/>
  <c r="ID42" i="8237"/>
  <c r="HZ42" i="8237"/>
  <c r="L44" i="8238"/>
  <c r="IC42" i="8237"/>
  <c r="N44" i="8238"/>
  <c r="K44" i="8238"/>
  <c r="O44" i="8238"/>
  <c r="M44" i="8238"/>
  <c r="HM27" i="8237"/>
  <c r="HL29" i="8237"/>
  <c r="HL42" i="8237" s="1"/>
  <c r="Z32" i="8238"/>
  <c r="HM29" i="8237" l="1"/>
  <c r="HM42" i="8237" s="1"/>
  <c r="HN27" i="8237"/>
  <c r="HO27" i="8237" l="1"/>
  <c r="HN29" i="8237"/>
  <c r="HN42" i="8237" s="1"/>
  <c r="HP27" i="8237" l="1"/>
  <c r="HO29" i="8237"/>
  <c r="HO42" i="8237" s="1"/>
  <c r="HP29" i="8237" l="1"/>
  <c r="HP42" i="8237" s="1"/>
  <c r="HQ27" i="8237"/>
  <c r="HQ29" i="8237" l="1"/>
  <c r="HQ42" i="8237" s="1"/>
  <c r="HR27" i="8237"/>
  <c r="HS27" i="8237" l="1"/>
  <c r="HR29" i="8237"/>
  <c r="HR42" i="8237" s="1"/>
  <c r="HT27" i="8237" l="1"/>
  <c r="HT29" i="8237" s="1"/>
  <c r="HT42" i="8237" s="1"/>
  <c r="HS29" i="8237"/>
  <c r="HS42" i="8237" s="1"/>
</calcChain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<sst xmlns="http://schemas.openxmlformats.org/spreadsheetml/2006/main" count="491" uniqueCount="91">
  <si>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</si>
  <si>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</si>
  <si>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</si>
  <si>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</si>
  <si>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</si>
  <si>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</si>
  <si>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</si>
  <si>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</si>
  <si>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</si>
  <si>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</si>
  <si>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</si>
  <si>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</si>
  <si>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</si>
  <si>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</si>
  <si>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</si>
  <si>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</si>
  <si>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</si>
  <si>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</si>
  <si>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</si>
  <si>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</si>
  <si>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</si>
  <si>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</si>
  <si>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</si>
  <si>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</si>
  <si>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</si>
  <si>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</si>
  <si>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</si>
  <si>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</si>
  <si>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</si>
  <si>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</si>
  <si>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</si>
  <si>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</si>
  <si>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</si>
  <si>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</si>
  <si>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</si>
  <si>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</si>
  <si>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</si>
  <si>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</si>
  <si>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</si>
  <si>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</si>
  <si>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</si>
  <si>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</si>
  <si>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</si>
  <si>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</si>
  <si>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</si>
  <si>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</si>
  <si>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</si>
  <si>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</si>
  <si>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</si>
  <si>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</si>
  <si>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</si>
  <si>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</si>
  <si>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</si>
  <si>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</si>
  <si>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</si>
  <si>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</si>
  <si>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</si>
  <si>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</si>
  <si>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</si>
  <si>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</si>
  <si>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</si>
  <si>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</si>
  <si>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</si>
  <si>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</si>
  <si>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</si>
  <si>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</si>
  <si>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</si>
  <si>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</si>
  <si>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</si>
  <si>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</si>
  <si>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</si>
  <si>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</si>
  <si>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</si>
  <si>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</si>
  <si>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</si>
  <si>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</si>
  <si>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</si>
  <si>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</si>
  <si>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</si>
  <si>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</si>
  <si>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</si>
  <si>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</si>
  <si>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</si>
  <si>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20 - OCT 20</t>
  </si>
  <si>
    <t>NOVIEMBRE 2020</t>
  </si>
  <si>
    <t>INTEROIL</t>
  </si>
  <si>
    <t>IV/T)</t>
  </si>
  <si>
    <t>UNNA ENERGIA</t>
  </si>
  <si>
    <t>III(T)</t>
  </si>
  <si>
    <t>DIFERENCIA MAY22-ABR22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</si>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</sst>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color indexed="62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5" fillId="10" borderId="0" xfId="0" applyFont="1" applyFill="1"/>
    <xf numFmtId="0" fontId="5" fillId="10" borderId="0" xfId="0" applyFont="1" applyFill="1" applyAlignment="1">
      <alignment horizontal="center"/>
    </xf>
    <xf numFmtId="3" fontId="5" fillId="10" borderId="0" xfId="0" applyNumberFormat="1" applyFont="1" applyFill="1"/>
    <xf numFmtId="17" fontId="5" fillId="10" borderId="0" xfId="0" applyNumberFormat="1" applyFont="1" applyFill="1" applyAlignment="1">
      <alignment horizontal="center"/>
    </xf>
    <xf numFmtId="0" fontId="5" fillId="0" borderId="0" xfId="0" applyFont="1"/>
    <xf numFmtId="0" fontId="6" fillId="10" borderId="0" xfId="0" applyFont="1" applyFill="1"/>
    <xf numFmtId="0" fontId="7" fillId="10" borderId="0" xfId="0" applyFont="1" applyFill="1"/>
    <xf numFmtId="4" fontId="5" fillId="10" borderId="0" xfId="0" applyNumberFormat="1" applyFont="1" applyFill="1"/>
    <xf numFmtId="4" fontId="7" fillId="10" borderId="0" xfId="0" applyNumberFormat="1" applyFont="1" applyFill="1"/>
    <xf numFmtId="0" fontId="8" fillId="10" borderId="0" xfId="0" applyFont="1" applyFill="1"/>
    <xf numFmtId="17" fontId="5" fillId="10" borderId="0" xfId="0" applyNumberFormat="1" applyFont="1" applyFill="1"/>
    <xf numFmtId="17" fontId="9" fillId="10" borderId="0" xfId="0" applyNumberFormat="1" applyFont="1" applyFill="1"/>
    <xf numFmtId="14" fontId="5" fillId="10" borderId="0" xfId="0" applyNumberFormat="1" applyFont="1" applyFill="1"/>
    <xf numFmtId="0" fontId="5" fillId="0" borderId="0" xfId="0" applyFont="1" applyAlignment="1">
      <alignment horizontal="center"/>
    </xf>
    <xf numFmtId="3" fontId="5" fillId="0" borderId="0" xfId="0" applyNumberFormat="1" applyFont="1"/>
    <xf numFmtId="17" fontId="5" fillId="0" borderId="0" xfId="0" applyNumberFormat="1" applyFont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 wrapText="1"/>
    </xf>
    <xf numFmtId="0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/>
    <xf numFmtId="3" fontId="7" fillId="10" borderId="1" xfId="0" quotePrefix="1" applyNumberFormat="1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vertical="center" wrapText="1"/>
    </xf>
    <xf numFmtId="0" fontId="10" fillId="10" borderId="0" xfId="0" applyFont="1" applyFill="1" applyBorder="1" applyAlignment="1">
      <alignment horizontal="center"/>
    </xf>
    <xf numFmtId="2" fontId="7" fillId="10" borderId="0" xfId="0" applyNumberFormat="1" applyFont="1" applyFill="1" applyAlignment="1">
      <alignment horizontal="center"/>
    </xf>
    <xf numFmtId="9" fontId="7" fillId="10" borderId="0" xfId="1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vertical="center" wrapText="1"/>
    </xf>
    <xf numFmtId="3" fontId="7" fillId="13" borderId="1" xfId="0" applyNumberFormat="1" applyFont="1" applyFill="1" applyBorder="1" applyAlignment="1">
      <alignment horizontal="center" vertical="center" wrapText="1"/>
    </xf>
    <xf numFmtId="164" fontId="7" fillId="13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vertical="center" wrapText="1"/>
    </xf>
    <xf numFmtId="3" fontId="7" fillId="15" borderId="1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 wrapText="1"/>
    </xf>
    <xf numFmtId="3" fontId="7" fillId="11" borderId="1" xfId="0" applyNumberFormat="1" applyFont="1" applyFill="1" applyBorder="1" applyAlignment="1">
      <alignment horizontal="center" vertical="center" wrapText="1"/>
    </xf>
    <xf numFmtId="164" fontId="7" fillId="11" borderId="1" xfId="0" applyNumberFormat="1" applyFont="1" applyFill="1" applyBorder="1" applyAlignment="1">
      <alignment horizontal="center" vertical="center" wrapText="1"/>
    </xf>
    <xf numFmtId="2" fontId="7" fillId="10" borderId="0" xfId="1" applyNumberFormat="1" applyFont="1" applyFill="1" applyAlignment="1">
      <alignment horizontal="center"/>
    </xf>
    <xf numFmtId="2" fontId="7" fillId="10" borderId="0" xfId="1" applyNumberFormat="1" applyFont="1" applyFill="1" applyBorder="1" applyAlignment="1">
      <alignment horizontal="center"/>
    </xf>
    <xf numFmtId="0" fontId="12" fillId="16" borderId="6" xfId="0" applyFont="1" applyFill="1" applyBorder="1" applyAlignment="1">
      <alignment vertical="center" wrapText="1"/>
    </xf>
    <xf numFmtId="0" fontId="12" fillId="10" borderId="7" xfId="0" applyFont="1" applyFill="1" applyBorder="1" applyAlignment="1">
      <alignment vertical="center" wrapText="1"/>
    </xf>
    <xf numFmtId="0" fontId="5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7" fillId="10" borderId="0" xfId="0" applyNumberFormat="1" applyFont="1" applyFill="1" applyAlignment="1">
      <alignment horizontal="center" vertical="center"/>
    </xf>
    <xf numFmtId="3" fontId="7" fillId="10" borderId="0" xfId="0" applyNumberFormat="1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2" fontId="7" fillId="10" borderId="0" xfId="1" quotePrefix="1" applyNumberFormat="1" applyFont="1" applyFill="1" applyAlignment="1">
      <alignment horizontal="center"/>
    </xf>
    <xf numFmtId="3" fontId="7" fillId="4" borderId="8" xfId="0" applyNumberFormat="1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13" fillId="17" borderId="11" xfId="0" applyNumberFormat="1" applyFont="1" applyFill="1" applyBorder="1" applyAlignment="1">
      <alignment vertical="center" wrapText="1"/>
    </xf>
    <xf numFmtId="1" fontId="13" fillId="17" borderId="12" xfId="0" applyNumberFormat="1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 wrapText="1"/>
    </xf>
    <xf numFmtId="3" fontId="14" fillId="17" borderId="1" xfId="0" applyNumberFormat="1" applyFont="1" applyFill="1" applyBorder="1" applyAlignment="1">
      <alignment horizontal="center" vertical="center" wrapText="1"/>
    </xf>
    <xf numFmtId="3" fontId="14" fillId="17" borderId="13" xfId="0" applyNumberFormat="1" applyFont="1" applyFill="1" applyBorder="1" applyAlignment="1">
      <alignment horizontal="center" vertical="center" wrapText="1"/>
    </xf>
    <xf numFmtId="3" fontId="15" fillId="18" borderId="1" xfId="0" applyNumberFormat="1" applyFont="1" applyFill="1" applyBorder="1" applyAlignment="1">
      <alignment vertical="center" wrapText="1"/>
    </xf>
    <xf numFmtId="3" fontId="15" fillId="18" borderId="1" xfId="0" applyNumberFormat="1" applyFont="1" applyFill="1" applyBorder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/>
    </xf>
    <xf numFmtId="3" fontId="7" fillId="10" borderId="1" xfId="0" applyNumberFormat="1" applyFont="1" applyFill="1" applyBorder="1" applyAlignment="1">
      <alignment vertical="center" wrapText="1"/>
    </xf>
    <xf numFmtId="0" fontId="12" fillId="10" borderId="0" xfId="0" applyFont="1" applyFill="1" applyBorder="1" applyAlignment="1">
      <alignment horizontal="center" vertical="center" wrapText="1"/>
    </xf>
    <xf numFmtId="164" fontId="5" fillId="10" borderId="0" xfId="0" applyNumberFormat="1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3" fontId="14" fillId="17" borderId="17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15" fillId="18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3" fontId="7" fillId="9" borderId="8" xfId="0" applyNumberFormat="1" applyFont="1" applyFill="1" applyBorder="1" applyAlignment="1">
      <alignment horizontal="center" vertical="center"/>
    </xf>
    <xf numFmtId="3" fontId="7" fillId="9" borderId="9" xfId="0" applyNumberFormat="1" applyFont="1" applyFill="1" applyBorder="1" applyAlignment="1">
      <alignment horizontal="center" vertical="center"/>
    </xf>
    <xf numFmtId="3" fontId="7" fillId="9" borderId="18" xfId="0" applyNumberFormat="1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1" fontId="13" fillId="17" borderId="12" xfId="0" applyNumberFormat="1" applyFont="1" applyFill="1" applyBorder="1" applyAlignment="1">
      <alignment horizontal="center" vertical="center" wrapText="1"/>
    </xf>
    <xf numFmtId="1" fontId="13" fillId="17" borderId="13" xfId="0" applyNumberFormat="1" applyFont="1" applyFill="1" applyBorder="1" applyAlignment="1">
      <alignment horizontal="center" vertical="center" wrapText="1"/>
    </xf>
    <xf numFmtId="1" fontId="13" fillId="17" borderId="1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18" xfId="0" applyNumberFormat="1" applyFont="1" applyFill="1" applyBorder="1" applyAlignment="1">
      <alignment horizontal="center" vertical="center"/>
    </xf>
    <xf numFmtId="1" fontId="7" fillId="19" borderId="5" xfId="0" applyNumberFormat="1" applyFont="1" applyFill="1" applyBorder="1" applyAlignment="1">
      <alignment horizontal="center" vertical="center"/>
    </xf>
    <xf numFmtId="1" fontId="7" fillId="19" borderId="6" xfId="0" applyNumberFormat="1" applyFont="1" applyFill="1" applyBorder="1" applyAlignment="1">
      <alignment horizontal="center" vertical="center"/>
    </xf>
    <xf numFmtId="1" fontId="7" fillId="19" borderId="15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1" fontId="14" fillId="17" borderId="1" xfId="0" applyNumberFormat="1" applyFont="1" applyFill="1" applyBorder="1" applyAlignment="1">
      <alignment horizontal="center" vertical="center" wrapText="1"/>
    </xf>
    <xf numFmtId="49" fontId="16" fillId="10" borderId="0" xfId="0" applyNumberFormat="1" applyFont="1" applyFill="1" applyBorder="1" applyAlignment="1">
      <alignment horizontal="center"/>
    </xf>
    <xf numFmtId="49" fontId="16" fillId="10" borderId="0" xfId="0" applyNumberFormat="1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7" borderId="8" xfId="0" applyNumberFormat="1" applyFont="1" applyFill="1" applyBorder="1" applyAlignment="1">
      <alignment horizontal="center" vertical="center"/>
    </xf>
    <xf numFmtId="3" fontId="7" fillId="7" borderId="9" xfId="0" applyNumberFormat="1" applyFont="1" applyFill="1" applyBorder="1" applyAlignment="1">
      <alignment horizontal="center" vertical="center"/>
    </xf>
    <xf numFmtId="1" fontId="14" fillId="17" borderId="11" xfId="0" applyNumberFormat="1" applyFont="1" applyFill="1" applyBorder="1" applyAlignment="1">
      <alignment horizontal="center" vertical="center" wrapText="1"/>
    </xf>
    <xf numFmtId="1" fontId="14" fillId="17" borderId="12" xfId="0" applyNumberFormat="1" applyFont="1" applyFill="1" applyBorder="1" applyAlignment="1">
      <alignment horizontal="center" vertical="center" wrapText="1"/>
    </xf>
    <xf numFmtId="1" fontId="14" fillId="17" borderId="1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/>
    </xf>
    <xf numFmtId="3" fontId="7" fillId="8" borderId="9" xfId="0" applyNumberFormat="1" applyFont="1" applyFill="1" applyBorder="1" applyAlignment="1">
      <alignment horizontal="center" vertical="center"/>
    </xf>
    <xf numFmtId="1" fontId="11" fillId="20" borderId="5" xfId="0" applyNumberFormat="1" applyFont="1" applyFill="1" applyBorder="1" applyAlignment="1">
      <alignment horizontal="center" vertical="center"/>
    </xf>
    <xf numFmtId="1" fontId="11" fillId="20" borderId="6" xfId="0" applyNumberFormat="1" applyFont="1" applyFill="1" applyBorder="1" applyAlignment="1">
      <alignment horizontal="center" vertical="center"/>
    </xf>
    <xf numFmtId="1" fontId="11" fillId="20" borderId="15" xfId="0" applyNumberFormat="1" applyFont="1" applyFill="1" applyBorder="1" applyAlignment="1">
      <alignment horizontal="center" vertical="center"/>
    </xf>
    <xf numFmtId="1" fontId="13" fillId="17" borderId="5" xfId="0" applyNumberFormat="1" applyFont="1" applyFill="1" applyBorder="1" applyAlignment="1">
      <alignment horizontal="center" vertical="center"/>
    </xf>
    <xf numFmtId="1" fontId="13" fillId="17" borderId="6" xfId="0" applyNumberFormat="1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/>
    </xf>
    <xf numFmtId="0" fontId="18" fillId="17" borderId="12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</cellXfs>
  <cellStyles count="3">
    <cellStyle name="Normal" xfId="0" builtinId="0"/>
    <cellStyle name="Normal 2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'PETRÓLEO '!$IF$1:$IR$1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'PETRÓLEO '!$IF$42:$IR$42</c:f>
              <c:numCache>
                <c:formatCode>#,##0</c:formatCode>
                <c:ptCount val="13"/>
                <c:pt idx="0">
                  <c:v>63738.3</c:v>
                </c:pt>
                <c:pt idx="1">
                  <c:v>59732</c:v>
                </c:pt>
                <c:pt idx="2">
                  <c:v>59804</c:v>
                </c:pt>
                <c:pt idx="3">
                  <c:v>61159</c:v>
                </c:pt>
                <c:pt idx="4">
                  <c:v>50534</c:v>
                </c:pt>
                <c:pt idx="5">
                  <c:v>45801</c:v>
                </c:pt>
                <c:pt idx="6">
                  <c:v>31547</c:v>
                </c:pt>
                <c:pt idx="7">
                  <c:v>29940</c:v>
                </c:pt>
                <c:pt idx="8">
                  <c:v>34731</c:v>
                </c:pt>
                <c:pt idx="9">
                  <c:v>31214</c:v>
                </c:pt>
                <c:pt idx="10">
                  <c:v>29165</c:v>
                </c:pt>
                <c:pt idx="11">
                  <c:v>37851</c:v>
                </c:pt>
                <c:pt idx="12">
                  <c:v>33484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A-4599-9AB3-EA4B0E3A3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998912"/>
        <c:axId val="73000448"/>
        <c:axId val="0"/>
      </c:bar3DChart>
      <c:dateAx>
        <c:axId val="72998912"/>
        <c:scaling>
          <c:orientation val="minMax"/>
          <c:max val="44136"/>
          <c:min val="43770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3000448"/>
        <c:crosses val="autoZero"/>
        <c:auto val="1"/>
        <c:lblOffset val="100"/>
        <c:baseTimeUnit val="months"/>
      </c:dateAx>
      <c:valAx>
        <c:axId val="7300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14853496165E-2"/>
              <c:y val="8.55511052447923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29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629707270246102E-2"/>
          <c:y val="0.12522429841900831"/>
          <c:w val="0.93212020313371813"/>
          <c:h val="0.8026784030636947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'PETRÓLEO 2019-2022'!$AH$1:$AS$1</c:f>
              <c:numCache>
                <c:formatCode>mmm\-yy</c:formatCode>
                <c:ptCount val="12"/>
                <c:pt idx="0">
                  <c:v>44348</c:v>
                </c:pt>
                <c:pt idx="1">
                  <c:v>44378</c:v>
                </c:pt>
                <c:pt idx="2">
                  <c:v>44409</c:v>
                </c:pt>
                <c:pt idx="3">
                  <c:v>44440</c:v>
                </c:pt>
                <c:pt idx="4">
                  <c:v>44470</c:v>
                </c:pt>
                <c:pt idx="5">
                  <c:v>44501</c:v>
                </c:pt>
                <c:pt idx="6">
                  <c:v>44531</c:v>
                </c:pt>
                <c:pt idx="7">
                  <c:v>44562</c:v>
                </c:pt>
                <c:pt idx="8">
                  <c:v>44593</c:v>
                </c:pt>
                <c:pt idx="9">
                  <c:v>44621</c:v>
                </c:pt>
                <c:pt idx="10">
                  <c:v>44652</c:v>
                </c:pt>
                <c:pt idx="11">
                  <c:v>44682</c:v>
                </c:pt>
              </c:numCache>
            </c:numRef>
          </c:cat>
          <c:val>
            <c:numRef>
              <c:f>'PETRÓLEO 2019-2022'!$AH$44:$AS$44</c:f>
              <c:numCache>
                <c:formatCode>#,##0</c:formatCode>
                <c:ptCount val="12"/>
                <c:pt idx="0">
                  <c:v>38881.399999999994</c:v>
                </c:pt>
                <c:pt idx="1">
                  <c:v>38887.645161290318</c:v>
                </c:pt>
                <c:pt idx="2">
                  <c:v>37699.645161290318</c:v>
                </c:pt>
                <c:pt idx="3">
                  <c:v>41292</c:v>
                </c:pt>
                <c:pt idx="4">
                  <c:v>44285</c:v>
                </c:pt>
                <c:pt idx="5">
                  <c:v>37924</c:v>
                </c:pt>
                <c:pt idx="6">
                  <c:v>38603</c:v>
                </c:pt>
                <c:pt idx="7">
                  <c:v>42524.516129032258</c:v>
                </c:pt>
                <c:pt idx="8">
                  <c:v>49246</c:v>
                </c:pt>
                <c:pt idx="9">
                  <c:v>28976.419354838705</c:v>
                </c:pt>
                <c:pt idx="10">
                  <c:v>41899</c:v>
                </c:pt>
                <c:pt idx="11">
                  <c:v>45390.387096774197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3C-4214-8ACD-A61D82BB1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176640"/>
        <c:axId val="78178176"/>
        <c:axId val="0"/>
      </c:bar3DChart>
      <c:dateAx>
        <c:axId val="78176640"/>
        <c:scaling>
          <c:orientation val="minMax"/>
          <c:max val="44682"/>
          <c:min val="44348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178176"/>
        <c:crosses val="autoZero"/>
        <c:auto val="1"/>
        <c:lblOffset val="100"/>
        <c:baseTimeUnit val="months"/>
      </c:dateAx>
      <c:valAx>
        <c:axId val="78178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4.6149086880777387E-2"/>
              <c:y val="8.5551036889619569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817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141</xdr:col>
      <xdr:colOff>0</xdr:colOff>
      <xdr:row>10</xdr:row>
      <xdr:rowOff>190500</xdr:rowOff>
    </xdr:from>
    <xdr:to>
      <xdr:col>239</xdr:col>
      <xdr:colOff>123825</xdr:colOff>
      <xdr:row>12</xdr:row>
      <xdr:rowOff>76200</xdr:rowOff>
    </xdr:to>
    <xdr:sp macro="" textlink="">
      <xdr:nvSpPr>
        <xdr:cNvPr id="943504" name="Text Box 54">
          <a:extLst>
            <a:ext uri="{FF2B5EF4-FFF2-40B4-BE49-F238E27FC236}">
              <a16:creationId xmlns:a16="http://schemas.microsoft.com/office/drawing/2014/main" xmlns="" id="{2ADCF963-79C9-4DAB-AD03-03D1E3EA0F6D}"/>
            </a:ext>
          </a:extLst>
        </xdr:cNvPr>
        <xdr:cNvSpPr txBox="1">
          <a:spLocks noChangeArrowheads="1"/>
        </xdr:cNvSpPr>
      </xdr:nvSpPr>
      <xdr:spPr bwMode="auto">
        <a:xfrm>
          <a:off x="2209800" y="2905125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238</xdr:col>
      <xdr:colOff>457200</xdr:colOff>
      <xdr:row>44</xdr:row>
      <xdr:rowOff>114300</xdr:rowOff>
    </xdr:from>
    <xdr:to>
      <xdr:col>249</xdr:col>
      <xdr:colOff>485775</xdr:colOff>
      <xdr:row>85</xdr:row>
      <xdr:rowOff>19050</xdr:rowOff>
    </xdr:to>
    <xdr:graphicFrame macro="">
      <xdr:nvGraphicFramePr>
        <xdr:cNvPr id="943505" name="1 Gráfico">
          <a:extLst>
            <a:ext uri="{FF2B5EF4-FFF2-40B4-BE49-F238E27FC236}">
              <a16:creationId xmlns:a16="http://schemas.microsoft.com/office/drawing/2014/main" xmlns="" id="{F139B104-7ACE-40F8-85D1-0FFC7FBCD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0.12085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855043" y="84324"/>
          <a:ext cx="6666782" cy="679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190500</xdr:rowOff>
    </xdr:from>
    <xdr:to>
      <xdr:col>32</xdr:col>
      <xdr:colOff>123825</xdr:colOff>
      <xdr:row>12</xdr:row>
      <xdr:rowOff>76200</xdr:rowOff>
    </xdr:to>
    <xdr:sp macro="" textlink="">
      <xdr:nvSpPr>
        <xdr:cNvPr id="1119238" name="Text Box 54">
          <a:extLst>
            <a:ext uri="{FF2B5EF4-FFF2-40B4-BE49-F238E27FC236}">
              <a16:creationId xmlns:a16="http://schemas.microsoft.com/office/drawing/2014/main" xmlns="" id="{1623C8A5-0943-4A0B-8DE8-E2FBC66B5148}"/>
            </a:ext>
          </a:extLst>
        </xdr:cNvPr>
        <xdr:cNvSpPr txBox="1">
          <a:spLocks noChangeArrowheads="1"/>
        </xdr:cNvSpPr>
      </xdr:nvSpPr>
      <xdr:spPr bwMode="auto">
        <a:xfrm>
          <a:off x="2209800" y="2895600"/>
          <a:ext cx="1238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152151</xdr:colOff>
      <xdr:row>48</xdr:row>
      <xdr:rowOff>141022</xdr:rowOff>
    </xdr:from>
    <xdr:to>
      <xdr:col>42</xdr:col>
      <xdr:colOff>256061</xdr:colOff>
      <xdr:row>80</xdr:row>
      <xdr:rowOff>123703</xdr:rowOff>
    </xdr:to>
    <xdr:graphicFrame macro="">
      <xdr:nvGraphicFramePr>
        <xdr:cNvPr id="1119239" name="1 Gráfico">
          <a:extLst>
            <a:ext uri="{FF2B5EF4-FFF2-40B4-BE49-F238E27FC236}">
              <a16:creationId xmlns:a16="http://schemas.microsoft.com/office/drawing/2014/main" xmlns="" id="{1365F3EA-8824-4A43-9F4F-637C87FAD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0.32113</cdr:x>
      <cdr:y>0.0374</cdr:y>
    </cdr:from>
    <cdr:to>
      <cdr:x>0.70395</cdr:x>
      <cdr:y>0.10301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86250" y="250031"/>
          <a:ext cx="5107781" cy="44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0.22802</cdr:x>
      <cdr:y>0.01313</cdr:y>
    </cdr:from>
    <cdr:to>
      <cdr:x>0.75814</cdr:x>
      <cdr:y>0.18336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914536" y="78128"/>
          <a:ext cx="4451073" cy="1012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PRODUCCIÓN MENSUAL PROMEDIO DE PETRÓLEO</a:t>
          </a:r>
          <a:endParaRPr lang="es-PE" sz="1800">
            <a:effectLst/>
          </a:endParaRPr>
        </a:p>
        <a:p xmlns:a="http://schemas.openxmlformats.org/drawingml/2006/main">
          <a:pPr algn="ctr" rtl="0"/>
          <a:r>
            <a:rPr lang="es-PE" sz="1800" b="1" i="0" baseline="0">
              <a:effectLst/>
              <a:latin typeface="+mn-lt"/>
              <a:ea typeface="+mn-ea"/>
              <a:cs typeface="+mn-cs"/>
            </a:rPr>
            <a:t>(Barriles Por Día)</a:t>
          </a:r>
          <a:endParaRPr lang="es-PE" sz="1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00B050"/>
    <pageSetUpPr fitToPage="1"/>
  </sheetPr>
  <dimension ref="A1:IV91"/>
  <sheetViews>
    <sheetView view="pageBreakPreview" topLeftCell="C1" zoomScale="70" zoomScaleNormal="70" zoomScaleSheetLayoutView="70" workbookViewId="0">
      <pane xSplit="212" ySplit="10" topLeftCell="IF11" activePane="bottomRight" state="frozen"/>
      <selection activeCell="C1" sqref="C1"/>
      <selection pane="topRight" activeCell="HG1" sqref="HG1"/>
      <selection pane="bottomLeft" activeCell="C11" sqref="C11"/>
      <selection pane="bottomRight" activeCell="C16" sqref="A16:XFD20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5" width="12" style="1" hidden="1" customWidth="1"/>
    <col min="6" max="6" width="16.28515625" style="1" hidden="1" customWidth="1"/>
    <col min="7" max="7" width="17.7109375" style="1" hidden="1" customWidth="1"/>
    <col min="8" max="8" width="12.140625" style="1" hidden="1" customWidth="1"/>
    <col min="9" max="9" width="17.85546875" style="1" hidden="1" customWidth="1"/>
    <col min="10" max="12" width="16.28515625" style="1" hidden="1" customWidth="1"/>
    <col min="13" max="13" width="9.42578125" style="1" hidden="1" customWidth="1"/>
    <col min="14" max="14" width="9.5703125" style="1" hidden="1" customWidth="1"/>
    <col min="15" max="15" width="11.5703125" style="1" hidden="1" customWidth="1"/>
    <col min="16" max="17" width="11.140625" style="1" hidden="1" customWidth="1"/>
    <col min="18" max="18" width="10.85546875" style="1" hidden="1" customWidth="1"/>
    <col min="19" max="19" width="0.140625" style="1" hidden="1" customWidth="1"/>
    <col min="20" max="20" width="11.5703125" style="1" hidden="1" customWidth="1"/>
    <col min="21" max="22" width="12.140625" style="1" hidden="1" customWidth="1"/>
    <col min="23" max="23" width="10.42578125" style="1" hidden="1" customWidth="1"/>
    <col min="24" max="24" width="10.7109375" style="1" hidden="1" customWidth="1"/>
    <col min="25" max="29" width="10" style="1" hidden="1" customWidth="1"/>
    <col min="30" max="33" width="10.42578125" style="1" hidden="1" customWidth="1"/>
    <col min="34" max="34" width="9.7109375" style="1" hidden="1" customWidth="1"/>
    <col min="35" max="35" width="10.85546875" style="1" hidden="1" customWidth="1"/>
    <col min="36" max="37" width="10.42578125" style="1" hidden="1" customWidth="1"/>
    <col min="38" max="38" width="10.85546875" style="1" hidden="1" customWidth="1"/>
    <col min="39" max="40" width="10.42578125" style="1" hidden="1" customWidth="1"/>
    <col min="41" max="41" width="12.7109375" style="1" hidden="1" customWidth="1"/>
    <col min="42" max="42" width="10.42578125" style="1" hidden="1" customWidth="1"/>
    <col min="43" max="43" width="11.85546875" style="1" hidden="1" customWidth="1"/>
    <col min="44" max="44" width="13.7109375" style="1" hidden="1" customWidth="1"/>
    <col min="45" max="46" width="10.42578125" style="1" hidden="1" customWidth="1"/>
    <col min="47" max="48" width="10.28515625" style="1" hidden="1" customWidth="1"/>
    <col min="49" max="49" width="10.7109375" style="1" hidden="1" customWidth="1"/>
    <col min="50" max="50" width="11.7109375" style="1" hidden="1" customWidth="1"/>
    <col min="51" max="52" width="10.42578125" style="1" hidden="1" customWidth="1"/>
    <col min="53" max="53" width="13.7109375" style="1" hidden="1" customWidth="1"/>
    <col min="54" max="54" width="10.7109375" style="1" hidden="1" customWidth="1"/>
    <col min="55" max="55" width="12.4257812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546875" style="1" hidden="1" customWidth="1"/>
    <col min="65" max="65" width="13.42578125" style="1" hidden="1" customWidth="1"/>
    <col min="66" max="72" width="12" style="1" hidden="1" customWidth="1"/>
    <col min="73" max="76" width="12.42578125" style="1" hidden="1" customWidth="1"/>
    <col min="77" max="77" width="13.42578125" style="1" hidden="1" customWidth="1"/>
    <col min="78" max="86" width="12.42578125" style="1" hidden="1" customWidth="1"/>
    <col min="87" max="96" width="14.42578125" style="1" hidden="1" customWidth="1"/>
    <col min="97" max="97" width="16" style="1" hidden="1" customWidth="1"/>
    <col min="98" max="98" width="14.42578125" style="1" hidden="1" customWidth="1"/>
    <col min="99" max="99" width="16.42578125" style="1" hidden="1" customWidth="1"/>
    <col min="100" max="111" width="13.42578125" style="1" hidden="1" customWidth="1"/>
    <col min="112" max="112" width="14.28515625" style="1" hidden="1" customWidth="1"/>
    <col min="113" max="113" width="12.5703125" style="1" hidden="1" customWidth="1"/>
    <col min="114" max="145" width="12" style="1" hidden="1" customWidth="1"/>
    <col min="146" max="186" width="14" style="1" hidden="1" customWidth="1"/>
    <col min="187" max="187" width="14.5703125" style="1" hidden="1" customWidth="1"/>
    <col min="188" max="189" width="13.42578125" style="1" hidden="1" customWidth="1"/>
    <col min="190" max="192" width="14.570312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578125" style="1" hidden="1" customWidth="1"/>
    <col min="224" max="224" width="17.42578125" style="55" hidden="1" customWidth="1"/>
    <col min="225" max="229" width="17.42578125" style="1" hidden="1" customWidth="1"/>
    <col min="230" max="237" width="16.140625" style="1" hidden="1" customWidth="1"/>
    <col min="238" max="238" width="0.140625" style="1" hidden="1" customWidth="1"/>
    <col min="239" max="239" width="16.140625" style="1" hidden="1" customWidth="1"/>
    <col min="240" max="243" width="16.140625" style="1" customWidth="1"/>
    <col min="244" max="244" width="17" style="1" customWidth="1"/>
    <col min="245" max="245" width="17.5703125" style="1" customWidth="1"/>
    <col min="246" max="246" width="18.140625" style="1" customWidth="1"/>
    <col min="247" max="247" width="18.7109375" style="1" customWidth="1"/>
    <col min="248" max="248" width="17.85546875" style="1" customWidth="1"/>
    <col min="249" max="249" width="17" style="1" customWidth="1"/>
    <col min="250" max="250" width="17.28515625" style="1" customWidth="1"/>
    <col min="251" max="253" width="16.5703125" style="1" customWidth="1"/>
    <col min="254" max="16384" width="11.42578125" style="1"/>
  </cols>
  <sheetData>
    <row r="1" spans="1:256" s="5" customFormat="1" x14ac:dyDescent="0.2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6">
        <v>44136</v>
      </c>
      <c r="IS1" s="1"/>
      <c r="IT1" s="1"/>
      <c r="IU1" s="1"/>
      <c r="IV1" s="1"/>
    </row>
    <row r="2" spans="1:256" s="5" customFormat="1" x14ac:dyDescent="0.2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x14ac:dyDescent="0.2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8.75" x14ac:dyDescent="0.3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22"/>
      <c r="HR4" s="22"/>
      <c r="HS4" s="22"/>
      <c r="HT4" s="22"/>
      <c r="HU4" s="22"/>
    </row>
    <row r="5" spans="1:256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</row>
    <row r="6" spans="1:256" ht="18" customHeight="1" x14ac:dyDescent="0.2">
      <c r="A6" s="121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</row>
    <row r="7" spans="1:256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</row>
    <row r="8" spans="1:256" ht="16.5" thickBot="1" x14ac:dyDescent="0.3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Top="1" thickBot="1" x14ac:dyDescent="0.3">
      <c r="A9" s="6"/>
      <c r="B9" s="6"/>
      <c r="C9" s="85"/>
      <c r="D9" s="86"/>
      <c r="E9" s="105">
        <v>1999</v>
      </c>
      <c r="F9" s="105"/>
      <c r="G9" s="105"/>
      <c r="H9" s="105"/>
      <c r="I9" s="105"/>
      <c r="J9" s="105"/>
      <c r="K9" s="105"/>
      <c r="L9" s="105"/>
      <c r="M9" s="59">
        <v>2000</v>
      </c>
      <c r="N9" s="106" t="s">
        <v>34</v>
      </c>
      <c r="O9" s="106"/>
      <c r="P9" s="106"/>
      <c r="Q9" s="106"/>
      <c r="R9" s="106"/>
      <c r="S9" s="106"/>
      <c r="T9" s="106"/>
      <c r="U9" s="60">
        <v>2001</v>
      </c>
      <c r="V9" s="61"/>
      <c r="W9" s="61"/>
      <c r="X9" s="61"/>
      <c r="Y9" s="61"/>
      <c r="Z9" s="61"/>
      <c r="AA9" s="61"/>
      <c r="AB9" s="116">
        <v>2001</v>
      </c>
      <c r="AC9" s="116"/>
      <c r="AD9" s="116"/>
      <c r="AE9" s="116"/>
      <c r="AF9" s="116"/>
      <c r="AG9" s="89">
        <v>2002</v>
      </c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1"/>
      <c r="AS9" s="125">
        <v>2003</v>
      </c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03">
        <v>2004</v>
      </c>
      <c r="BF9" s="104"/>
      <c r="BG9" s="104"/>
      <c r="BH9" s="104"/>
      <c r="BI9" s="104"/>
      <c r="BJ9" s="104"/>
      <c r="BK9" s="104"/>
      <c r="BL9" s="104"/>
      <c r="BM9" s="104"/>
      <c r="BN9" s="104"/>
      <c r="BO9" s="110">
        <v>2005</v>
      </c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2"/>
      <c r="CA9" s="101">
        <v>2006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30">
        <v>2007</v>
      </c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17">
        <v>2008</v>
      </c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7">
        <v>2009</v>
      </c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82">
        <v>2011</v>
      </c>
      <c r="EN9" s="83"/>
      <c r="EO9" s="84"/>
      <c r="EP9" s="113">
        <v>2012</v>
      </c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5"/>
      <c r="FB9" s="132">
        <v>2013</v>
      </c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4"/>
      <c r="FN9" s="135">
        <v>2014</v>
      </c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09">
        <v>2015</v>
      </c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7">
        <v>2016</v>
      </c>
      <c r="GW9" s="108"/>
      <c r="GX9" s="119">
        <v>2017</v>
      </c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27">
        <v>2018</v>
      </c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9"/>
      <c r="HV9" s="122">
        <v>2019</v>
      </c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>
        <v>2020</v>
      </c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"/>
      <c r="IT9" s="1"/>
      <c r="IU9" s="1"/>
      <c r="IV9" s="1"/>
    </row>
    <row r="10" spans="1:256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62</v>
      </c>
      <c r="IS10" s="68" t="s">
        <v>83</v>
      </c>
      <c r="IT10" s="1"/>
      <c r="IU10" s="1"/>
      <c r="IV10" s="1"/>
    </row>
    <row r="11" spans="1:256" s="5" customFormat="1" ht="16.5" customHeight="1" thickTop="1" x14ac:dyDescent="0.2">
      <c r="A11" s="93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1072.4000000000001</v>
      </c>
      <c r="GU11" s="17">
        <v>1023.0967741935484</v>
      </c>
      <c r="GV11" s="17">
        <v>988.9</v>
      </c>
      <c r="GW11" s="17">
        <v>954.19354838709683</v>
      </c>
      <c r="GX11" s="17">
        <v>921.35483870967744</v>
      </c>
      <c r="GY11" s="17">
        <v>887.46428571428567</v>
      </c>
      <c r="GZ11" s="17">
        <v>851.48387096774195</v>
      </c>
      <c r="HA11" s="17">
        <v>854.76666666666665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664.87096774193549</v>
      </c>
      <c r="IA11" s="75">
        <v>602</v>
      </c>
      <c r="IB11" s="75">
        <v>649.87096774193549</v>
      </c>
      <c r="IC11" s="75">
        <v>691.9677419354839</v>
      </c>
      <c r="ID11" s="75">
        <v>636.4</v>
      </c>
      <c r="IE11" s="75">
        <v>649.22580645161293</v>
      </c>
      <c r="IF11" s="75">
        <v>643.83333333333337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v>587</v>
      </c>
      <c r="IS11" s="17">
        <f>+IR11-IQ11</f>
        <v>13</v>
      </c>
      <c r="IT11" s="1"/>
      <c r="IU11" s="1"/>
      <c r="IV11" s="1"/>
    </row>
    <row r="12" spans="1:256" s="5" customFormat="1" ht="16.5" customHeight="1" x14ac:dyDescent="0.2">
      <c r="A12" s="96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339.77419354838707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318.32258064516128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212.35483870967741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283.10000000000002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312.09677419354841</v>
      </c>
      <c r="ID12" s="75">
        <v>352.66666666666669</v>
      </c>
      <c r="IE12" s="75">
        <v>407.77419354838707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v>404</v>
      </c>
      <c r="IS12" s="17">
        <f t="shared" ref="IS12:IS42" si="0">+IR12-IQ12</f>
        <v>-14</v>
      </c>
      <c r="IT12" s="1"/>
      <c r="IU12" s="1"/>
      <c r="IV12" s="1"/>
    </row>
    <row r="13" spans="1:256" s="5" customFormat="1" ht="16.5" customHeight="1" x14ac:dyDescent="0.2">
      <c r="A13" s="96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975.25806451612902</v>
      </c>
      <c r="GQ13" s="17">
        <v>1006.2333333333333</v>
      </c>
      <c r="GR13" s="17">
        <v>967.77419354838707</v>
      </c>
      <c r="GS13" s="17">
        <v>935.74193548387098</v>
      </c>
      <c r="GT13" s="17">
        <v>943.36666666666667</v>
      </c>
      <c r="GU13" s="17">
        <v>936.80645161290317</v>
      </c>
      <c r="GV13" s="17">
        <v>937.8</v>
      </c>
      <c r="GW13" s="17">
        <v>910.41935483870964</v>
      </c>
      <c r="GX13" s="17">
        <v>922.41935483870964</v>
      </c>
      <c r="GY13" s="17">
        <v>813.28571428571433</v>
      </c>
      <c r="GZ13" s="17">
        <v>603.29032258064512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693.61290322580646</v>
      </c>
      <c r="IA13" s="75">
        <v>694</v>
      </c>
      <c r="IB13" s="75">
        <v>696.41935483870964</v>
      </c>
      <c r="IC13" s="75">
        <v>740.87096774193549</v>
      </c>
      <c r="ID13" s="75">
        <v>786.9</v>
      </c>
      <c r="IE13" s="75">
        <v>802.58064516129036</v>
      </c>
      <c r="IF13" s="75">
        <v>798.33333333333337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v>622</v>
      </c>
      <c r="IS13" s="17">
        <f t="shared" si="0"/>
        <v>-19</v>
      </c>
      <c r="IT13" s="1"/>
      <c r="IU13" s="1"/>
      <c r="IV13" s="1"/>
    </row>
    <row r="14" spans="1:256" s="5" customFormat="1" ht="16.5" customHeight="1" x14ac:dyDescent="0.2">
      <c r="A14" s="96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596.29999999999995</v>
      </c>
      <c r="GP14" s="17">
        <v>601.0322580645161</v>
      </c>
      <c r="GQ14" s="17">
        <v>607.29999999999995</v>
      </c>
      <c r="GR14" s="17">
        <v>637.64516129032256</v>
      </c>
      <c r="GS14" s="17">
        <v>615.83870967741939</v>
      </c>
      <c r="GT14" s="17">
        <v>601.63333333333333</v>
      </c>
      <c r="GU14" s="17">
        <v>609.48387096774195</v>
      </c>
      <c r="GV14" s="17">
        <v>627.79999999999995</v>
      </c>
      <c r="GW14" s="17">
        <v>845.61290322580646</v>
      </c>
      <c r="GX14" s="17">
        <v>1435.7741935483871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v>1825</v>
      </c>
      <c r="IS14" s="17">
        <f t="shared" si="0"/>
        <v>-53</v>
      </c>
      <c r="IT14" s="1"/>
      <c r="IU14" s="1"/>
      <c r="IV14" s="1"/>
    </row>
    <row r="15" spans="1:256" s="5" customFormat="1" ht="16.5" customHeight="1" x14ac:dyDescent="0.2">
      <c r="A15" s="96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87.645161290322577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99.677419354838705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v>92</v>
      </c>
      <c r="IS15" s="17">
        <f t="shared" si="0"/>
        <v>11</v>
      </c>
      <c r="IT15" s="1"/>
      <c r="IU15" s="1"/>
      <c r="IV15" s="1"/>
    </row>
    <row r="16" spans="1:256" s="5" customFormat="1" ht="15.75" customHeight="1" x14ac:dyDescent="0.2">
      <c r="A16" s="96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87">
        <v>125069</v>
      </c>
      <c r="P16" s="87">
        <v>132837</v>
      </c>
      <c r="Q16" s="87">
        <v>127982</v>
      </c>
      <c r="R16" s="87">
        <v>134937</v>
      </c>
      <c r="S16" s="87">
        <v>128138</v>
      </c>
      <c r="T16" s="87">
        <v>132222</v>
      </c>
      <c r="U16" s="87">
        <v>127513</v>
      </c>
      <c r="V16" s="87">
        <v>113266</v>
      </c>
      <c r="W16" s="87">
        <v>121026</v>
      </c>
      <c r="X16" s="87">
        <v>130746</v>
      </c>
      <c r="Y16" s="87">
        <v>140659</v>
      </c>
      <c r="Z16" s="87">
        <v>133530</v>
      </c>
      <c r="AA16" s="87">
        <v>141390</v>
      </c>
      <c r="AB16" s="87">
        <v>135945</v>
      </c>
      <c r="AC16" s="87">
        <v>134600</v>
      </c>
      <c r="AD16" s="87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3254.8666666666668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2838.2333333333331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4157.1000000000004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v>3293</v>
      </c>
      <c r="IS16" s="17">
        <f t="shared" si="0"/>
        <v>-135</v>
      </c>
      <c r="IT16" s="1"/>
      <c r="IU16" s="1"/>
      <c r="IV16" s="1"/>
    </row>
    <row r="17" spans="1:256" s="5" customFormat="1" ht="16.5" hidden="1" customHeight="1" x14ac:dyDescent="0.25">
      <c r="A17" s="96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8"/>
      <c r="AA17" s="88"/>
      <c r="AB17" s="88"/>
      <c r="AC17" s="88"/>
      <c r="AD17" s="8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>
        <f t="shared" si="0"/>
        <v>0</v>
      </c>
      <c r="IT17" s="1"/>
      <c r="IU17" s="1"/>
      <c r="IV17" s="1"/>
    </row>
    <row r="18" spans="1:256" s="5" customFormat="1" ht="16.5" customHeight="1" x14ac:dyDescent="0.2">
      <c r="A18" s="96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193.45161290322579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161.35483870967741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v>152</v>
      </c>
      <c r="IS18" s="17">
        <f t="shared" si="0"/>
        <v>-15</v>
      </c>
      <c r="IT18" s="1"/>
      <c r="IU18" s="1"/>
      <c r="IV18" s="1"/>
    </row>
    <row r="19" spans="1:256" s="5" customFormat="1" ht="16.5" hidden="1" customHeight="1" x14ac:dyDescent="0.2">
      <c r="A19" s="96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>
        <f t="shared" si="0"/>
        <v>0</v>
      </c>
      <c r="IT19" s="1"/>
      <c r="IU19" s="1"/>
      <c r="IV19" s="1"/>
    </row>
    <row r="20" spans="1:256" s="5" customFormat="1" ht="16.5" customHeight="1" x14ac:dyDescent="0.2">
      <c r="A20" s="96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10096.321428571429</v>
      </c>
      <c r="GZ20" s="17">
        <v>9499.5483870967746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v>12220</v>
      </c>
      <c r="IS20" s="17">
        <f t="shared" si="0"/>
        <v>37</v>
      </c>
      <c r="IT20" s="1"/>
      <c r="IU20" s="1"/>
      <c r="IV20" s="1"/>
    </row>
    <row r="21" spans="1:256" s="5" customFormat="1" ht="16.5" customHeight="1" x14ac:dyDescent="0.2">
      <c r="A21" s="96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3546.5483870967741</v>
      </c>
      <c r="GS21" s="17">
        <v>3682.5806451612902</v>
      </c>
      <c r="GT21" s="17">
        <v>3482.3</v>
      </c>
      <c r="GU21" s="17">
        <v>3186.8064516129034</v>
      </c>
      <c r="GV21" s="17">
        <v>3104.2666666666669</v>
      </c>
      <c r="GW21" s="17">
        <v>3503.3548387096776</v>
      </c>
      <c r="GX21" s="17">
        <v>3535.7096774193546</v>
      </c>
      <c r="GY21" s="17">
        <v>3159.7142857142858</v>
      </c>
      <c r="GZ21" s="17">
        <v>3034.9354838709678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1921.2258064516129</v>
      </c>
      <c r="IA21" s="75">
        <v>1955</v>
      </c>
      <c r="IB21" s="75">
        <f>66570/31</f>
        <v>2147.4193548387098</v>
      </c>
      <c r="IC21" s="75">
        <f>66497/31</f>
        <v>2145.0645161290322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v>1189</v>
      </c>
      <c r="IS21" s="17">
        <f t="shared" si="0"/>
        <v>-77</v>
      </c>
      <c r="IT21" s="1"/>
      <c r="IU21" s="1"/>
      <c r="IV21" s="1"/>
    </row>
    <row r="22" spans="1:256" s="5" customFormat="1" ht="16.5" customHeight="1" x14ac:dyDescent="0.2">
      <c r="A22" s="96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46.032258064516128</v>
      </c>
      <c r="GS22" s="17">
        <v>47.193548387096776</v>
      </c>
      <c r="GT22" s="17">
        <v>45.366666666666667</v>
      </c>
      <c r="GU22" s="17">
        <v>43.935483870967744</v>
      </c>
      <c r="GV22" s="17">
        <v>45.666666666666664</v>
      </c>
      <c r="GW22" s="17">
        <v>41.548387096774192</v>
      </c>
      <c r="GX22" s="17">
        <v>38.322580645161288</v>
      </c>
      <c r="GY22" s="17">
        <v>40.321428571428569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32.387096774193552</v>
      </c>
      <c r="IC22" s="75">
        <v>33.41935483870968</v>
      </c>
      <c r="ID22" s="75">
        <v>33.4</v>
      </c>
      <c r="IE22" s="75">
        <v>42.967741935483872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v>34</v>
      </c>
      <c r="IS22" s="17">
        <f t="shared" si="0"/>
        <v>-1</v>
      </c>
      <c r="IT22" s="1"/>
      <c r="IU22" s="1"/>
      <c r="IV22" s="1"/>
    </row>
    <row r="23" spans="1:256" s="5" customFormat="1" ht="16.5" customHeight="1" thickBot="1" x14ac:dyDescent="0.25">
      <c r="A23" s="96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9.9677419354838701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19.100000000000001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v>15</v>
      </c>
      <c r="IS23" s="17">
        <f t="shared" si="0"/>
        <v>2</v>
      </c>
      <c r="IT23" s="1"/>
      <c r="IU23" s="1"/>
      <c r="IV23" s="1"/>
    </row>
    <row r="24" spans="1:256" s="5" customFormat="1" ht="21.75" customHeight="1" thickTop="1" thickBot="1" x14ac:dyDescent="0.25">
      <c r="B24" s="29"/>
      <c r="C24" s="95" t="s">
        <v>46</v>
      </c>
      <c r="D24" s="9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20661.548387096769</v>
      </c>
      <c r="GS24" s="32">
        <v>20837.645161290326</v>
      </c>
      <c r="GT24" s="32">
        <v>20657.333333333328</v>
      </c>
      <c r="GU24" s="32">
        <v>20620.290322580637</v>
      </c>
      <c r="GV24" s="32">
        <v>20630.566666666669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t="shared" ref="HG24:HO24" si="1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t="shared" ref="HP24:HU24" si="2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t="shared" ref="HV24:ID24" si="3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24820.903225806451</v>
      </c>
      <c r="IA24" s="31">
        <f t="shared" si="3"/>
        <v>25310</v>
      </c>
      <c r="IB24" s="31">
        <f t="shared" si="3"/>
        <v>25638.741935483871</v>
      </c>
      <c r="IC24" s="31">
        <f t="shared" si="3"/>
        <v>24295.387096774193</v>
      </c>
      <c r="ID24" s="31">
        <f t="shared" si="3"/>
        <v>25812.733333333337</v>
      </c>
      <c r="IE24" s="31">
        <f t="shared" ref="IE24:IJ24" si="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t="shared" ref="IK24:IP24" si="5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>+SUM(IR11:IR23)</f>
        <v>20433</v>
      </c>
      <c r="IS24" s="31">
        <f t="shared" si="0"/>
        <v>-251</v>
      </c>
      <c r="IT24" s="1"/>
      <c r="IU24" s="1"/>
      <c r="IV24" s="1"/>
    </row>
    <row r="25" spans="1:256" s="5" customFormat="1" ht="16.5" customHeight="1" thickTop="1" thickBot="1" x14ac:dyDescent="0.25">
      <c r="A25" s="92" t="s">
        <v>41</v>
      </c>
      <c r="B25" s="94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8267.6129032258068</v>
      </c>
      <c r="GQ25" s="17">
        <v>8340.5666666666675</v>
      </c>
      <c r="GR25" s="17">
        <v>7951.5161290322585</v>
      </c>
      <c r="GS25" s="17">
        <v>8369.1290322580644</v>
      </c>
      <c r="GT25" s="17">
        <v>8020.2</v>
      </c>
      <c r="GU25" s="17">
        <v>8642.5161290322576</v>
      </c>
      <c r="GV25" s="17">
        <v>8711</v>
      </c>
      <c r="GW25" s="17">
        <v>8342.032258064517</v>
      </c>
      <c r="GX25" s="17">
        <v>7994.4193548387093</v>
      </c>
      <c r="GY25" s="17">
        <v>7660.5357142857147</v>
      </c>
      <c r="GZ25" s="17">
        <v>7345.4516129032254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7190.6129032258068</v>
      </c>
      <c r="IA25" s="75">
        <v>6789</v>
      </c>
      <c r="IB25" s="75">
        <f>216346/31</f>
        <v>6978.9032258064517</v>
      </c>
      <c r="IC25" s="75">
        <f>227463/31</f>
        <v>7337.5161290322585</v>
      </c>
      <c r="ID25" s="75">
        <f>212302/30</f>
        <v>7076.7333333333336</v>
      </c>
      <c r="IE25" s="75">
        <f>209422/31</f>
        <v>6755.5483870967746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v>6213</v>
      </c>
      <c r="IS25" s="17">
        <f t="shared" si="0"/>
        <v>23</v>
      </c>
      <c r="IT25" s="1"/>
      <c r="IU25" s="1"/>
      <c r="IV25" s="1"/>
    </row>
    <row r="26" spans="1:256" s="5" customFormat="1" ht="16.5" hidden="1" customHeight="1" thickTop="1" thickBot="1" x14ac:dyDescent="0.25">
      <c r="A26" s="92"/>
      <c r="B26" s="94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t="shared" ref="HQ26:HS27" si="6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>
        <f t="shared" si="0"/>
        <v>0</v>
      </c>
      <c r="IT26" s="1"/>
      <c r="IU26" s="1"/>
      <c r="IV26" s="1"/>
    </row>
    <row r="27" spans="1:256" s="5" customFormat="1" ht="16.5" customHeight="1" thickTop="1" thickBot="1" x14ac:dyDescent="0.25">
      <c r="A27" s="92"/>
      <c r="B27" s="94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t="shared" ref="HJ27:HP27" si="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v>0</v>
      </c>
      <c r="IS27" s="17">
        <f t="shared" si="0"/>
        <v>0</v>
      </c>
      <c r="IT27" s="1"/>
      <c r="IU27" s="1"/>
      <c r="IV27" s="1"/>
    </row>
    <row r="28" spans="1:256" s="5" customFormat="1" ht="21" customHeight="1" thickTop="1" thickBot="1" x14ac:dyDescent="0.25">
      <c r="A28" s="9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2827.5483870967741</v>
      </c>
      <c r="GT28" s="17">
        <v>2902.3333333333335</v>
      </c>
      <c r="GU28" s="17">
        <v>2743.7419354838707</v>
      </c>
      <c r="GV28" s="17">
        <v>2642.8666666666668</v>
      </c>
      <c r="GW28" s="17">
        <v>2205.1290322580644</v>
      </c>
      <c r="GX28" s="17">
        <v>378.64516129032256</v>
      </c>
      <c r="GY28" s="17">
        <v>1831.8571428571429</v>
      </c>
      <c r="GZ28" s="17">
        <v>4547.8064516129034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v>0</v>
      </c>
      <c r="IS28" s="17">
        <f t="shared" si="0"/>
        <v>0</v>
      </c>
      <c r="IT28" s="1"/>
      <c r="IU28" s="1"/>
      <c r="IV28" s="1"/>
    </row>
    <row r="29" spans="1:256" s="5" customFormat="1" ht="19.5" customHeight="1" thickTop="1" thickBot="1" x14ac:dyDescent="0.25">
      <c r="B29" s="34"/>
      <c r="C29" s="99" t="s">
        <v>47</v>
      </c>
      <c r="D29" s="9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8340.5666666666675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8373.0645161290322</v>
      </c>
      <c r="GY29" s="37">
        <v>9492.3928571428569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t="shared" ref="HG29:HO29" si="8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t="shared" ref="HP29:HV29" si="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t="shared" ref="HW29:ID29" si="10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9075.5161290322576</v>
      </c>
      <c r="IA29" s="37">
        <f t="shared" si="10"/>
        <v>8622</v>
      </c>
      <c r="IB29" s="37">
        <f t="shared" si="10"/>
        <v>6978.9032258064517</v>
      </c>
      <c r="IC29" s="37">
        <f t="shared" si="10"/>
        <v>9093</v>
      </c>
      <c r="ID29" s="37">
        <f t="shared" si="10"/>
        <v>8870.5666666666675</v>
      </c>
      <c r="IE29" s="37">
        <f t="shared" ref="IE29:IJ29" si="11">+SUM(IE25:IE28)</f>
        <v>6755.5483870967746</v>
      </c>
      <c r="IF29" s="37">
        <f t="shared" si="11"/>
        <v>9128.4333333333325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t="shared" ref="IK29:IP29" si="12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>+SUM(IR25:IR28)</f>
        <v>6213</v>
      </c>
      <c r="IS29" s="37">
        <f t="shared" si="0"/>
        <v>23</v>
      </c>
      <c r="IT29" s="1"/>
      <c r="IU29" s="1"/>
      <c r="IV29" s="1"/>
    </row>
    <row r="30" spans="1:256" s="5" customFormat="1" ht="15.75" hidden="1" customHeight="1" thickTop="1" thickBot="1" x14ac:dyDescent="0.25">
      <c r="A30" s="92" t="s">
        <v>69</v>
      </c>
      <c r="B30" s="94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 t="shared" ref="IJ30:IO30" si="13">+IG30-IF30</f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/>
      <c r="IS30" s="17">
        <f t="shared" si="0"/>
        <v>0</v>
      </c>
      <c r="IT30" s="1"/>
      <c r="IU30" s="1"/>
      <c r="IV30" s="1"/>
    </row>
    <row r="31" spans="1:256" s="5" customFormat="1" ht="15.75" customHeight="1" thickTop="1" thickBot="1" x14ac:dyDescent="0.25">
      <c r="A31" s="92"/>
      <c r="B31" s="94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1955.3571428571429</v>
      </c>
      <c r="GZ31" s="17">
        <v>4239.7419354838712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8286.4838709677424</v>
      </c>
      <c r="ID31" s="75">
        <f>257608/30</f>
        <v>8586.9333333333325</v>
      </c>
      <c r="IE31" s="75">
        <f>312614/31</f>
        <v>10084.322580645161</v>
      </c>
      <c r="IF31" s="75">
        <f>279164/30</f>
        <v>9305.4666666666672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v>0</v>
      </c>
      <c r="IS31" s="17">
        <f t="shared" si="0"/>
        <v>0</v>
      </c>
      <c r="IT31" s="1"/>
      <c r="IU31" s="1"/>
      <c r="IV31" s="1"/>
    </row>
    <row r="32" spans="1:256" s="5" customFormat="1" ht="15.75" customHeight="1" thickTop="1" thickBot="1" x14ac:dyDescent="0.25">
      <c r="A32" s="92"/>
      <c r="B32" s="94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6048.7741935483873</v>
      </c>
      <c r="GQ32" s="17">
        <v>4673.333333333333</v>
      </c>
      <c r="GR32" s="17">
        <v>6118.7096774193551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3879.0645161290322</v>
      </c>
      <c r="GX32" s="17">
        <v>5753.2258064516127</v>
      </c>
      <c r="GY32" s="17">
        <v>6533.2142857142853</v>
      </c>
      <c r="GZ32" s="17">
        <v>6032.3548387096771</v>
      </c>
      <c r="HA32" s="17">
        <v>6181.5333333333338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5419.3548387096771</v>
      </c>
      <c r="IA32" s="75">
        <v>445</v>
      </c>
      <c r="IB32" s="75">
        <f>71580/31</f>
        <v>2309.0322580645161</v>
      </c>
      <c r="IC32" s="75">
        <f>165606/31</f>
        <v>5342.1290322580644</v>
      </c>
      <c r="ID32" s="75">
        <f>169662/30</f>
        <v>5655.4</v>
      </c>
      <c r="IE32" s="75">
        <f>78726/31</f>
        <v>2539.5483870967741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v>0</v>
      </c>
      <c r="IS32" s="17">
        <f t="shared" si="0"/>
        <v>0</v>
      </c>
      <c r="IT32" s="1"/>
      <c r="IU32" s="1"/>
      <c r="IV32" s="1"/>
    </row>
    <row r="33" spans="1:256" s="5" customFormat="1" ht="19.5" hidden="1" customHeight="1" thickTop="1" thickBot="1" x14ac:dyDescent="0.25">
      <c r="A33" s="92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52.967741935483872</v>
      </c>
      <c r="GT33" s="17">
        <v>52.666666666666664</v>
      </c>
      <c r="GU33" s="17">
        <v>79.096774193548384</v>
      </c>
      <c r="GV33" s="17">
        <v>63.966666666666669</v>
      </c>
      <c r="GW33" s="17">
        <v>32.774193548387096</v>
      </c>
      <c r="GX33" s="17">
        <v>65.516129032258064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>
        <f t="shared" si="0"/>
        <v>0</v>
      </c>
      <c r="IT33" s="1"/>
      <c r="IU33" s="1"/>
      <c r="IV33" s="1"/>
    </row>
    <row r="34" spans="1:256" s="5" customFormat="1" ht="19.5" hidden="1" customHeight="1" thickTop="1" thickBot="1" x14ac:dyDescent="0.25">
      <c r="A34" s="9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50.451612903225808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43.133333333333333</v>
      </c>
      <c r="GW34" s="17">
        <v>41.645161290322584</v>
      </c>
      <c r="GX34" s="17">
        <v>0</v>
      </c>
      <c r="GY34" s="17">
        <v>47.428571428571431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>
        <f t="shared" si="0"/>
        <v>0</v>
      </c>
      <c r="IT34" s="1"/>
      <c r="IU34" s="1"/>
      <c r="IV34" s="1"/>
    </row>
    <row r="35" spans="1:256" s="5" customFormat="1" ht="19.5" customHeight="1" thickTop="1" thickBot="1" x14ac:dyDescent="0.25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425.12903225806451</v>
      </c>
      <c r="IC35" s="75">
        <f>39858/31</f>
        <v>1285.741935483871</v>
      </c>
      <c r="ID35" s="75">
        <f>64552/30</f>
        <v>2151.7333333333331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v>0</v>
      </c>
      <c r="IS35" s="17">
        <f t="shared" si="0"/>
        <v>0</v>
      </c>
      <c r="IT35" s="1"/>
      <c r="IU35" s="1"/>
      <c r="IV35" s="1"/>
    </row>
    <row r="36" spans="1:256" s="5" customFormat="1" ht="19.5" customHeight="1" thickTop="1" thickBot="1" x14ac:dyDescent="0.25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2983.8666666666668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2707.5483870967741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3066.5483870967741</v>
      </c>
      <c r="IA36" s="75">
        <v>3063</v>
      </c>
      <c r="IB36" s="75">
        <f>93928/31</f>
        <v>3029.9354838709678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v>1649</v>
      </c>
      <c r="IS36" s="17">
        <f t="shared" si="0"/>
        <v>-54</v>
      </c>
      <c r="IT36" s="1"/>
      <c r="IU36" s="1"/>
      <c r="IV36" s="1"/>
    </row>
    <row r="37" spans="1:256" s="5" customFormat="1" ht="19.5" hidden="1" customHeight="1" thickTop="1" thickBot="1" x14ac:dyDescent="0.25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t="shared" ref="HQ37:HT38" si="14">+HM37-HL37</f>
        <v>0</v>
      </c>
      <c r="HR37" s="17">
        <f t="shared" si="14"/>
        <v>0</v>
      </c>
      <c r="HS37" s="17">
        <f t="shared" si="14"/>
        <v>0</v>
      </c>
      <c r="HT37" s="17">
        <f t="shared" si="14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>
        <f t="shared" si="0"/>
        <v>0</v>
      </c>
      <c r="IT37" s="1"/>
      <c r="IU37" s="1"/>
      <c r="IV37" s="1"/>
    </row>
    <row r="38" spans="1:256" s="5" customFormat="1" ht="19.5" hidden="1" customHeight="1" thickTop="1" thickBot="1" x14ac:dyDescent="0.25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4"/>
        <v>0</v>
      </c>
      <c r="HR38" s="17">
        <f t="shared" si="14"/>
        <v>0</v>
      </c>
      <c r="HS38" s="17">
        <f t="shared" si="14"/>
        <v>0</v>
      </c>
      <c r="HT38" s="17">
        <f t="shared" si="14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>
        <f t="shared" si="0"/>
        <v>0</v>
      </c>
      <c r="IT38" s="1"/>
      <c r="IU38" s="1"/>
      <c r="IV38" s="1"/>
    </row>
    <row r="39" spans="1:256" s="5" customFormat="1" ht="19.5" customHeight="1" thickTop="1" thickBot="1" x14ac:dyDescent="0.25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4394.5483870967746</v>
      </c>
      <c r="IC39" s="75">
        <f>159098/31</f>
        <v>5132.1935483870966</v>
      </c>
      <c r="ID39" s="75">
        <f>148440/30</f>
        <v>4948</v>
      </c>
      <c r="IE39" s="75">
        <f>194945/31</f>
        <v>6288.5483870967746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v>5190</v>
      </c>
      <c r="IS39" s="17">
        <f t="shared" si="0"/>
        <v>-4085</v>
      </c>
      <c r="IT39" s="1"/>
      <c r="IU39" s="1"/>
      <c r="IV39" s="1"/>
    </row>
    <row r="40" spans="1:256" s="5" customFormat="1" ht="20.25" customHeight="1" thickTop="1" x14ac:dyDescent="0.2">
      <c r="B40" s="44"/>
      <c r="C40" s="81" t="s">
        <v>48</v>
      </c>
      <c r="D40" s="8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7596.9666666666672</v>
      </c>
      <c r="GR40" s="41">
        <v>9214.8709677419356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6906.3870967741932</v>
      </c>
      <c r="GX40" s="41">
        <v>8655.5161290322576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t="shared" ref="HG40:HO40" si="15">+SUM(HG31:HG36)</f>
        <v>9929</v>
      </c>
      <c r="HH40" s="41">
        <f t="shared" si="15"/>
        <v>11500</v>
      </c>
      <c r="HI40" s="41">
        <f t="shared" si="15"/>
        <v>15896</v>
      </c>
      <c r="HJ40" s="41">
        <f t="shared" si="15"/>
        <v>18819</v>
      </c>
      <c r="HK40" s="40">
        <f t="shared" si="15"/>
        <v>16963</v>
      </c>
      <c r="HL40" s="40">
        <f t="shared" si="15"/>
        <v>18612</v>
      </c>
      <c r="HM40" s="40">
        <f t="shared" si="15"/>
        <v>19360</v>
      </c>
      <c r="HN40" s="40">
        <f t="shared" si="15"/>
        <v>18682</v>
      </c>
      <c r="HO40" s="40">
        <f t="shared" si="15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t="shared" ref="HS40:HY40" si="16">+SUM(HS31:HS39)</f>
        <v>21885</v>
      </c>
      <c r="HT40" s="40">
        <f t="shared" si="16"/>
        <v>17728</v>
      </c>
      <c r="HU40" s="40">
        <f t="shared" si="16"/>
        <v>15774</v>
      </c>
      <c r="HV40" s="40">
        <f t="shared" si="16"/>
        <v>6650</v>
      </c>
      <c r="HW40" s="40">
        <f t="shared" si="16"/>
        <v>12516.400000000001</v>
      </c>
      <c r="HX40" s="40">
        <f t="shared" si="16"/>
        <v>18191</v>
      </c>
      <c r="HY40" s="40">
        <f t="shared" si="16"/>
        <v>21471.7</v>
      </c>
      <c r="HZ40" s="40">
        <f t="shared" ref="HZ40:IE40" si="17">+SUM(HZ31:HZ39)</f>
        <v>22678.645161290322</v>
      </c>
      <c r="IA40" s="40">
        <f t="shared" si="17"/>
        <v>16057</v>
      </c>
      <c r="IB40" s="40">
        <f t="shared" si="17"/>
        <v>11299</v>
      </c>
      <c r="IC40" s="40">
        <f t="shared" si="17"/>
        <v>22981.967741935485</v>
      </c>
      <c r="ID40" s="40">
        <f t="shared" si="17"/>
        <v>24468</v>
      </c>
      <c r="IE40" s="40">
        <f t="shared" si="17"/>
        <v>23552.741935483871</v>
      </c>
      <c r="IF40" s="40">
        <f>+SUM(IF31:IF39)</f>
        <v>29137.833333333332</v>
      </c>
      <c r="IG40" s="40">
        <f>+SUM(IG31:IG39)</f>
        <v>27186</v>
      </c>
      <c r="IH40" s="40">
        <f t="shared" ref="IH40:IM40" si="18">+SUM(IH31:IH39)</f>
        <v>28250</v>
      </c>
      <c r="II40" s="40">
        <f t="shared" si="18"/>
        <v>29297</v>
      </c>
      <c r="IJ40" s="40">
        <f t="shared" si="18"/>
        <v>20112</v>
      </c>
      <c r="IK40" s="40">
        <f t="shared" si="18"/>
        <v>16614</v>
      </c>
      <c r="IL40" s="40">
        <f t="shared" si="18"/>
        <v>2744</v>
      </c>
      <c r="IM40" s="40">
        <f t="shared" si="18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>+SUM(IR31:IR39)</f>
        <v>6839</v>
      </c>
      <c r="IS40" s="40">
        <f t="shared" si="0"/>
        <v>-4139</v>
      </c>
      <c r="IT40" s="1"/>
      <c r="IU40" s="1"/>
      <c r="IV40" s="1"/>
    </row>
    <row r="41" spans="1:256" s="46" customFormat="1" ht="20.25" customHeight="1" x14ac:dyDescent="0.2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6" s="5" customFormat="1" ht="41.25" customHeight="1" thickBot="1" x14ac:dyDescent="0.25">
      <c r="B42" s="45"/>
      <c r="C42" s="80" t="s">
        <v>78</v>
      </c>
      <c r="D42" s="80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42932.129032258061</v>
      </c>
      <c r="GQ42" s="70">
        <v>36879.133333333339</v>
      </c>
      <c r="GR42" s="70">
        <v>42342.774193548379</v>
      </c>
      <c r="GS42" s="70">
        <v>41318.967741935485</v>
      </c>
      <c r="GT42" s="70">
        <v>34664.166666666664</v>
      </c>
      <c r="GU42" s="70">
        <v>35151.064516129023</v>
      </c>
      <c r="GV42" s="70">
        <v>35152.433333333334</v>
      </c>
      <c r="GW42" s="70">
        <v>38288.645161290318</v>
      </c>
      <c r="GX42" s="70">
        <v>39058.903225806454</v>
      </c>
      <c r="GY42" s="70">
        <v>40679.714285714283</v>
      </c>
      <c r="GZ42" s="70">
        <v>42807.645161290318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t="shared" ref="HG42:HO42" si="19">+HG24+HG29+HG40</f>
        <v>40739</v>
      </c>
      <c r="HH42" s="70">
        <f t="shared" si="19"/>
        <v>43382</v>
      </c>
      <c r="HI42" s="70">
        <f t="shared" si="19"/>
        <v>48196</v>
      </c>
      <c r="HJ42" s="70">
        <f t="shared" si="19"/>
        <v>48673</v>
      </c>
      <c r="HK42" s="70">
        <f t="shared" si="19"/>
        <v>50265</v>
      </c>
      <c r="HL42" s="70">
        <f t="shared" si="19"/>
        <v>51978</v>
      </c>
      <c r="HM42" s="70">
        <f t="shared" si="19"/>
        <v>49965</v>
      </c>
      <c r="HN42" s="70">
        <f t="shared" si="19"/>
        <v>52201</v>
      </c>
      <c r="HO42" s="70">
        <f t="shared" si="19"/>
        <v>41598</v>
      </c>
      <c r="HP42" s="70">
        <f t="shared" ref="HP42:HU42" si="20">+HP24+HP29+HP40</f>
        <v>42109</v>
      </c>
      <c r="HQ42" s="70">
        <f t="shared" si="20"/>
        <v>43682</v>
      </c>
      <c r="HR42" s="70">
        <f t="shared" si="20"/>
        <v>51116</v>
      </c>
      <c r="HS42" s="70">
        <f t="shared" si="20"/>
        <v>55949</v>
      </c>
      <c r="HT42" s="70">
        <f t="shared" si="20"/>
        <v>48511</v>
      </c>
      <c r="HU42" s="70">
        <f t="shared" si="20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t="shared" ref="IB42:IH42" si="21">+IB24+IB29+IB40</f>
        <v>43916.645161290318</v>
      </c>
      <c r="IC42" s="70">
        <f t="shared" si="21"/>
        <v>56370.354838709682</v>
      </c>
      <c r="ID42" s="70">
        <f t="shared" si="21"/>
        <v>59151.3</v>
      </c>
      <c r="IE42" s="70">
        <f t="shared" si="21"/>
        <v>56044.161290322583</v>
      </c>
      <c r="IF42" s="70">
        <f t="shared" si="21"/>
        <v>63738.3</v>
      </c>
      <c r="IG42" s="70">
        <f t="shared" si="21"/>
        <v>59732</v>
      </c>
      <c r="IH42" s="70">
        <f t="shared" si="21"/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+IR24+IR29+IR40-1</f>
        <v>33484</v>
      </c>
      <c r="IS42" s="70">
        <f t="shared" si="0"/>
        <v>-4367</v>
      </c>
      <c r="IT42" s="1"/>
      <c r="IU42" s="1"/>
      <c r="IV42" s="1"/>
    </row>
    <row r="43" spans="1:256" ht="18" customHeight="1" thickTop="1" x14ac:dyDescent="0.25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1:256" x14ac:dyDescent="0.2">
      <c r="HV44" s="3"/>
      <c r="IM44" s="3"/>
    </row>
    <row r="45" spans="1:256" x14ac:dyDescent="0.2">
      <c r="HW45" s="3"/>
      <c r="ID45" s="3"/>
      <c r="IL45" s="3"/>
      <c r="IQ45" s="3"/>
    </row>
    <row r="47" spans="1:256" x14ac:dyDescent="0.2">
      <c r="HP47" s="71"/>
      <c r="HV47" s="74"/>
    </row>
    <row r="57" spans="3:58" x14ac:dyDescent="0.2">
      <c r="C57" s="10"/>
    </row>
    <row r="59" spans="3:58" x14ac:dyDescent="0.2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3:58" x14ac:dyDescent="0.2">
      <c r="AC60" s="13"/>
    </row>
    <row r="67" spans="65:223" x14ac:dyDescent="0.2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 x14ac:dyDescent="0.2"/>
    <row r="91" ht="14.25" customHeight="1" x14ac:dyDescent="0.2"/>
  </sheetData>
  <mergeCells count="54">
    <mergeCell ref="HV9:IG9"/>
    <mergeCell ref="DU9:EF9"/>
    <mergeCell ref="AS9:BD9"/>
    <mergeCell ref="HJ9:HU9"/>
    <mergeCell ref="DI9:DT9"/>
    <mergeCell ref="CK9:CV9"/>
    <mergeCell ref="FB9:FM9"/>
    <mergeCell ref="FN9:FY9"/>
    <mergeCell ref="A4:HP4"/>
    <mergeCell ref="CA9:CJ9"/>
    <mergeCell ref="BE9:BN9"/>
    <mergeCell ref="E9:L9"/>
    <mergeCell ref="N9:T9"/>
    <mergeCell ref="GV9:GW9"/>
    <mergeCell ref="FZ9:GK9"/>
    <mergeCell ref="BO9:BZ9"/>
    <mergeCell ref="EP9:FA9"/>
    <mergeCell ref="AB9:AF9"/>
    <mergeCell ref="CW9:DH9"/>
    <mergeCell ref="GX9:HI9"/>
    <mergeCell ref="A7:IR7"/>
    <mergeCell ref="A6:IR6"/>
    <mergeCell ref="IH9:IR9"/>
    <mergeCell ref="A5:IR5"/>
    <mergeCell ref="A33:A34"/>
    <mergeCell ref="A30:A32"/>
    <mergeCell ref="B25:B27"/>
    <mergeCell ref="C24:D24"/>
    <mergeCell ref="Z16:Z17"/>
    <mergeCell ref="V16:V17"/>
    <mergeCell ref="A25:A28"/>
    <mergeCell ref="Y16:Y17"/>
    <mergeCell ref="S16:S17"/>
    <mergeCell ref="A11:A23"/>
    <mergeCell ref="B11:B23"/>
    <mergeCell ref="B30:B32"/>
    <mergeCell ref="C29:D29"/>
    <mergeCell ref="P16:P17"/>
    <mergeCell ref="C42:D42"/>
    <mergeCell ref="C40:D40"/>
    <mergeCell ref="EM9:EO9"/>
    <mergeCell ref="C9:D9"/>
    <mergeCell ref="R16:R17"/>
    <mergeCell ref="O16:O17"/>
    <mergeCell ref="AA16:AA17"/>
    <mergeCell ref="T16:T17"/>
    <mergeCell ref="AB16:AB17"/>
    <mergeCell ref="Q16:Q17"/>
    <mergeCell ref="U16:U17"/>
    <mergeCell ref="AD16:AD17"/>
    <mergeCell ref="W16:W17"/>
    <mergeCell ref="X16:X17"/>
    <mergeCell ref="AC16:AC17"/>
    <mergeCell ref="AG9:AR9"/>
  </mergeCells>
  <phoneticPr fontId="0" type="noConversion"/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93"/>
  <sheetViews>
    <sheetView tabSelected="1" view="pageBreakPreview" topLeftCell="C1" zoomScale="70" zoomScaleNormal="70" zoomScaleSheetLayoutView="70" workbookViewId="0">
      <pane xSplit="2" ySplit="10" topLeftCell="AI43" activePane="bottomRight" state="frozen"/>
      <selection activeCell="C1" sqref="C1"/>
      <selection pane="topRight" activeCell="HG1" sqref="HG1"/>
      <selection pane="bottomLeft" activeCell="C11" sqref="C11"/>
      <selection pane="bottomRight" activeCell="BD69" sqref="BD44:BG69"/>
    </sheetView>
  </sheetViews>
  <sheetFormatPr baseColWidth="10" defaultColWidth="11.42578125" defaultRowHeight="12.75" x14ac:dyDescent="0.2"/>
  <cols>
    <col min="1" max="1" width="19.7109375" style="1" hidden="1" customWidth="1"/>
    <col min="2" max="2" width="23.28515625" style="1" hidden="1" customWidth="1"/>
    <col min="3" max="3" width="22.28515625" style="1" customWidth="1"/>
    <col min="4" max="4" width="10.85546875" style="2" customWidth="1"/>
    <col min="5" max="12" width="16.140625" style="1" hidden="1" customWidth="1"/>
    <col min="13" max="13" width="0.140625" style="1" hidden="1" customWidth="1"/>
    <col min="14" max="18" width="16.140625" style="1" hidden="1" customWidth="1"/>
    <col min="19" max="19" width="17" style="1" hidden="1" customWidth="1"/>
    <col min="20" max="20" width="17.5703125" style="1" hidden="1" customWidth="1"/>
    <col min="21" max="21" width="18.140625" style="1" hidden="1" customWidth="1"/>
    <col min="22" max="22" width="18.7109375" style="1" hidden="1" customWidth="1"/>
    <col min="23" max="23" width="17.85546875" style="1" hidden="1" customWidth="1"/>
    <col min="24" max="24" width="17" style="1" hidden="1" customWidth="1"/>
    <col min="25" max="25" width="17.28515625" style="1" hidden="1" customWidth="1"/>
    <col min="26" max="32" width="16.5703125" style="1" hidden="1" customWidth="1"/>
    <col min="33" max="45" width="16.5703125" style="1" customWidth="1"/>
    <col min="46" max="46" width="20.140625" style="1" customWidth="1"/>
    <col min="47" max="16384" width="11.42578125" style="1"/>
  </cols>
  <sheetData>
    <row r="1" spans="1:49" s="5" customFormat="1" x14ac:dyDescent="0.2">
      <c r="D1" s="14"/>
      <c r="E1" s="16">
        <v>43466</v>
      </c>
      <c r="F1" s="16">
        <v>43497</v>
      </c>
      <c r="G1" s="16">
        <v>43525</v>
      </c>
      <c r="H1" s="16">
        <v>43556</v>
      </c>
      <c r="I1" s="16">
        <v>43586</v>
      </c>
      <c r="J1" s="16">
        <v>43617</v>
      </c>
      <c r="K1" s="16">
        <v>43647</v>
      </c>
      <c r="L1" s="16">
        <v>43678</v>
      </c>
      <c r="M1" s="16">
        <v>43709</v>
      </c>
      <c r="N1" s="16">
        <v>43739</v>
      </c>
      <c r="O1" s="16">
        <v>43770</v>
      </c>
      <c r="P1" s="16">
        <v>43800</v>
      </c>
      <c r="Q1" s="16">
        <v>43831</v>
      </c>
      <c r="R1" s="16">
        <v>43862</v>
      </c>
      <c r="S1" s="16">
        <v>43891</v>
      </c>
      <c r="T1" s="16">
        <v>43922</v>
      </c>
      <c r="U1" s="16">
        <v>43952</v>
      </c>
      <c r="V1" s="16">
        <v>43983</v>
      </c>
      <c r="W1" s="16">
        <v>44013</v>
      </c>
      <c r="X1" s="16">
        <v>44044</v>
      </c>
      <c r="Y1" s="16">
        <v>44075</v>
      </c>
      <c r="Z1" s="16">
        <v>44105</v>
      </c>
      <c r="AA1" s="16">
        <v>44136</v>
      </c>
      <c r="AB1" s="16">
        <v>44166</v>
      </c>
      <c r="AC1" s="16">
        <v>44197</v>
      </c>
      <c r="AD1" s="16">
        <v>44228</v>
      </c>
      <c r="AE1" s="16">
        <v>44256</v>
      </c>
      <c r="AF1" s="16">
        <v>44287</v>
      </c>
      <c r="AG1" s="16">
        <v>44317</v>
      </c>
      <c r="AH1" s="16">
        <v>44348</v>
      </c>
      <c r="AI1" s="16">
        <v>44378</v>
      </c>
      <c r="AJ1" s="16">
        <v>44409</v>
      </c>
      <c r="AK1" s="16">
        <v>44440</v>
      </c>
      <c r="AL1" s="16">
        <v>44470</v>
      </c>
      <c r="AM1" s="16">
        <v>44501</v>
      </c>
      <c r="AN1" s="16">
        <v>44531</v>
      </c>
      <c r="AO1" s="16">
        <v>44562</v>
      </c>
      <c r="AP1" s="16">
        <v>44593</v>
      </c>
      <c r="AQ1" s="16">
        <v>44621</v>
      </c>
      <c r="AR1" s="16">
        <v>44652</v>
      </c>
      <c r="AS1" s="16">
        <v>44682</v>
      </c>
      <c r="AT1" s="1"/>
      <c r="AU1" s="1"/>
      <c r="AV1" s="1"/>
      <c r="AW1" s="1"/>
    </row>
    <row r="2" spans="1:49" s="5" customFormat="1" x14ac:dyDescent="0.2"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5" customFormat="1" x14ac:dyDescent="0.2"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8.75" x14ac:dyDescent="0.3">
      <c r="A4" s="100"/>
      <c r="B4" s="100"/>
      <c r="C4" s="100"/>
      <c r="D4" s="100"/>
    </row>
    <row r="5" spans="1:49" ht="21" customHeight="1" x14ac:dyDescent="0.2">
      <c r="A5" s="123" t="s">
        <v>80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</row>
    <row r="6" spans="1:49" ht="18" customHeight="1" x14ac:dyDescent="0.2">
      <c r="A6" s="121" t="s">
        <v>90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1:49" ht="21" x14ac:dyDescent="0.35">
      <c r="A7" s="120" t="s">
        <v>79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</row>
    <row r="8" spans="1:49" ht="15.75" x14ac:dyDescent="0.25">
      <c r="C8" s="23"/>
      <c r="D8" s="42"/>
    </row>
    <row r="9" spans="1:49" s="5" customFormat="1" ht="25.5" customHeight="1" thickBot="1" x14ac:dyDescent="0.3">
      <c r="A9" s="6"/>
      <c r="B9" s="6"/>
      <c r="C9" s="85"/>
      <c r="D9" s="86"/>
      <c r="E9" s="122">
        <v>2019</v>
      </c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37">
        <v>2020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7">
        <v>2021</v>
      </c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9"/>
      <c r="AO9" s="137">
        <v>2022</v>
      </c>
      <c r="AP9" s="138"/>
      <c r="AQ9" s="138"/>
      <c r="AR9" s="138"/>
      <c r="AS9" s="139"/>
      <c r="AT9" s="1"/>
      <c r="AU9" s="1"/>
      <c r="AV9" s="1"/>
      <c r="AW9" s="1"/>
    </row>
    <row r="10" spans="1:49" s="5" customFormat="1" ht="54.75" customHeight="1" thickTop="1" thickBot="1" x14ac:dyDescent="0.25">
      <c r="A10" s="25" t="s">
        <v>30</v>
      </c>
      <c r="B10" s="26" t="s">
        <v>35</v>
      </c>
      <c r="C10" s="65" t="s">
        <v>44</v>
      </c>
      <c r="D10" s="65" t="s">
        <v>36</v>
      </c>
      <c r="E10" s="68" t="s">
        <v>52</v>
      </c>
      <c r="F10" s="68" t="s">
        <v>53</v>
      </c>
      <c r="G10" s="68" t="s">
        <v>54</v>
      </c>
      <c r="H10" s="68" t="s">
        <v>55</v>
      </c>
      <c r="I10" s="68" t="s">
        <v>56</v>
      </c>
      <c r="J10" s="68" t="s">
        <v>57</v>
      </c>
      <c r="K10" s="68" t="s">
        <v>58</v>
      </c>
      <c r="L10" s="68" t="s">
        <v>59</v>
      </c>
      <c r="M10" s="68" t="s">
        <v>65</v>
      </c>
      <c r="N10" s="68" t="s">
        <v>61</v>
      </c>
      <c r="O10" s="68" t="s">
        <v>62</v>
      </c>
      <c r="P10" s="68" t="s">
        <v>63</v>
      </c>
      <c r="Q10" s="68" t="s">
        <v>52</v>
      </c>
      <c r="R10" s="68" t="s">
        <v>53</v>
      </c>
      <c r="S10" s="68" t="s">
        <v>54</v>
      </c>
      <c r="T10" s="68" t="s">
        <v>55</v>
      </c>
      <c r="U10" s="68" t="s">
        <v>56</v>
      </c>
      <c r="V10" s="68" t="s">
        <v>57</v>
      </c>
      <c r="W10" s="68" t="s">
        <v>58</v>
      </c>
      <c r="X10" s="68" t="s">
        <v>59</v>
      </c>
      <c r="Y10" s="68" t="s">
        <v>65</v>
      </c>
      <c r="Z10" s="68" t="s">
        <v>61</v>
      </c>
      <c r="AA10" s="68" t="s">
        <v>62</v>
      </c>
      <c r="AB10" s="68" t="s">
        <v>63</v>
      </c>
      <c r="AC10" s="78" t="s">
        <v>52</v>
      </c>
      <c r="AD10" s="78" t="s">
        <v>53</v>
      </c>
      <c r="AE10" s="78" t="s">
        <v>54</v>
      </c>
      <c r="AF10" s="78" t="s">
        <v>55</v>
      </c>
      <c r="AG10" s="78" t="s">
        <v>56</v>
      </c>
      <c r="AH10" s="78" t="s">
        <v>57</v>
      </c>
      <c r="AI10" s="78" t="s">
        <v>58</v>
      </c>
      <c r="AJ10" s="78" t="s">
        <v>59</v>
      </c>
      <c r="AK10" s="78" t="s">
        <v>65</v>
      </c>
      <c r="AL10" s="78" t="s">
        <v>61</v>
      </c>
      <c r="AM10" s="78" t="s">
        <v>62</v>
      </c>
      <c r="AN10" s="78" t="s">
        <v>63</v>
      </c>
      <c r="AO10" s="67" t="s">
        <v>52</v>
      </c>
      <c r="AP10" s="68" t="s">
        <v>53</v>
      </c>
      <c r="AQ10" s="68" t="s">
        <v>54</v>
      </c>
      <c r="AR10" s="68" t="s">
        <v>55</v>
      </c>
      <c r="AS10" s="68" t="s">
        <v>56</v>
      </c>
      <c r="AT10" s="68" t="s">
        <v>89</v>
      </c>
      <c r="AU10" s="1"/>
      <c r="AV10" s="1"/>
      <c r="AW10" s="1"/>
    </row>
    <row r="11" spans="1:49" s="5" customFormat="1" ht="16.5" customHeight="1" thickTop="1" x14ac:dyDescent="0.2">
      <c r="A11" s="93" t="s">
        <v>68</v>
      </c>
      <c r="B11" s="97" t="s">
        <v>31</v>
      </c>
      <c r="C11" s="27" t="s">
        <v>87</v>
      </c>
      <c r="D11" s="28" t="s">
        <v>39</v>
      </c>
      <c r="E11" s="75">
        <v>638</v>
      </c>
      <c r="F11" s="75">
        <v>640.1</v>
      </c>
      <c r="G11" s="75">
        <v>596</v>
      </c>
      <c r="H11" s="75">
        <v>694.86</v>
      </c>
      <c r="I11" s="75">
        <v>664.87096774193549</v>
      </c>
      <c r="J11" s="75">
        <v>602</v>
      </c>
      <c r="K11" s="75">
        <v>649.87096774193549</v>
      </c>
      <c r="L11" s="75">
        <v>691.9677419354839</v>
      </c>
      <c r="M11" s="75">
        <v>636.4</v>
      </c>
      <c r="N11" s="75">
        <v>649.22580645161293</v>
      </c>
      <c r="O11" s="75">
        <v>643.83333333333337</v>
      </c>
      <c r="P11" s="17">
        <v>658</v>
      </c>
      <c r="Q11" s="17">
        <v>640</v>
      </c>
      <c r="R11" s="17">
        <v>635</v>
      </c>
      <c r="S11" s="17">
        <v>635</v>
      </c>
      <c r="T11" s="17">
        <v>606</v>
      </c>
      <c r="U11" s="17">
        <v>584</v>
      </c>
      <c r="V11" s="17">
        <v>597</v>
      </c>
      <c r="W11" s="17">
        <v>613</v>
      </c>
      <c r="X11" s="17">
        <v>586</v>
      </c>
      <c r="Y11" s="17">
        <v>614</v>
      </c>
      <c r="Z11" s="17">
        <v>574</v>
      </c>
      <c r="AA11" s="17">
        <v>587</v>
      </c>
      <c r="AB11" s="17">
        <v>532</v>
      </c>
      <c r="AC11" s="17">
        <v>567</v>
      </c>
      <c r="AD11" s="17">
        <v>574</v>
      </c>
      <c r="AE11" s="17">
        <v>518</v>
      </c>
      <c r="AF11" s="17">
        <v>539</v>
      </c>
      <c r="AG11" s="17">
        <v>572.90322580645159</v>
      </c>
      <c r="AH11" s="17">
        <v>561</v>
      </c>
      <c r="AI11" s="17">
        <v>543.51612903225805</v>
      </c>
      <c r="AJ11" s="17">
        <v>552.90322580645159</v>
      </c>
      <c r="AK11" s="17">
        <v>550</v>
      </c>
      <c r="AL11" s="17">
        <v>531</v>
      </c>
      <c r="AM11" s="17">
        <v>500</v>
      </c>
      <c r="AN11" s="17">
        <v>435</v>
      </c>
      <c r="AO11" s="17">
        <v>501.19354838709677</v>
      </c>
      <c r="AP11" s="17">
        <v>505</v>
      </c>
      <c r="AQ11" s="17">
        <v>506.87096774193549</v>
      </c>
      <c r="AR11" s="17">
        <v>513</v>
      </c>
      <c r="AS11" s="17">
        <v>508.41935483870969</v>
      </c>
      <c r="AT11" s="17">
        <f t="shared" ref="AT11:AT18" si="0">+AS11-AR11</f>
        <v>-4.5806451612903061</v>
      </c>
      <c r="AU11" s="1"/>
      <c r="AV11" s="1"/>
      <c r="AW11" s="1"/>
    </row>
    <row r="12" spans="1:49" s="5" customFormat="1" ht="16.5" customHeight="1" x14ac:dyDescent="0.2">
      <c r="A12" s="96"/>
      <c r="B12" s="98"/>
      <c r="C12" s="27" t="s">
        <v>71</v>
      </c>
      <c r="D12" s="28" t="s">
        <v>0</v>
      </c>
      <c r="E12" s="75">
        <v>309</v>
      </c>
      <c r="F12" s="75">
        <v>283.10000000000002</v>
      </c>
      <c r="G12" s="75">
        <v>291</v>
      </c>
      <c r="H12" s="75">
        <v>310</v>
      </c>
      <c r="I12" s="75">
        <v>295.64516129032256</v>
      </c>
      <c r="J12" s="75">
        <v>299</v>
      </c>
      <c r="K12" s="75">
        <v>320.38709677419354</v>
      </c>
      <c r="L12" s="75">
        <v>312.09677419354841</v>
      </c>
      <c r="M12" s="75">
        <v>352.66666666666669</v>
      </c>
      <c r="N12" s="75">
        <v>407.77419354838707</v>
      </c>
      <c r="O12" s="75">
        <v>393.43333333333334</v>
      </c>
      <c r="P12" s="17">
        <v>368</v>
      </c>
      <c r="Q12" s="17">
        <v>363</v>
      </c>
      <c r="R12" s="17">
        <v>365</v>
      </c>
      <c r="S12" s="17">
        <v>373</v>
      </c>
      <c r="T12" s="17">
        <v>361</v>
      </c>
      <c r="U12" s="17">
        <v>315</v>
      </c>
      <c r="V12" s="17">
        <v>432</v>
      </c>
      <c r="W12" s="17">
        <v>465</v>
      </c>
      <c r="X12" s="17">
        <v>439</v>
      </c>
      <c r="Y12" s="17">
        <v>410</v>
      </c>
      <c r="Z12" s="17">
        <v>418</v>
      </c>
      <c r="AA12" s="17">
        <v>404</v>
      </c>
      <c r="AB12" s="17">
        <v>388</v>
      </c>
      <c r="AC12" s="17">
        <v>415</v>
      </c>
      <c r="AD12" s="17">
        <v>465</v>
      </c>
      <c r="AE12" s="17">
        <v>380</v>
      </c>
      <c r="AF12" s="17">
        <v>412</v>
      </c>
      <c r="AG12" s="17">
        <v>378.80645161290323</v>
      </c>
      <c r="AH12" s="17">
        <v>390.66666666666669</v>
      </c>
      <c r="AI12" s="17">
        <v>371.87096774193549</v>
      </c>
      <c r="AJ12" s="17">
        <v>363.87096774193549</v>
      </c>
      <c r="AK12" s="17">
        <v>355</v>
      </c>
      <c r="AL12" s="17">
        <v>365</v>
      </c>
      <c r="AM12" s="17">
        <v>343</v>
      </c>
      <c r="AN12" s="17">
        <v>376</v>
      </c>
      <c r="AO12" s="17">
        <v>738</v>
      </c>
      <c r="AP12" s="17">
        <v>510</v>
      </c>
      <c r="AQ12" s="17">
        <v>446.83870967741933</v>
      </c>
      <c r="AR12" s="17">
        <v>479</v>
      </c>
      <c r="AS12" s="17">
        <v>410.80645161290323</v>
      </c>
      <c r="AT12" s="17">
        <f t="shared" si="0"/>
        <v>-68.193548387096769</v>
      </c>
      <c r="AU12" s="1"/>
      <c r="AV12" s="1"/>
      <c r="AW12" s="1"/>
    </row>
    <row r="13" spans="1:49" s="5" customFormat="1" ht="16.5" customHeight="1" x14ac:dyDescent="0.2">
      <c r="A13" s="96"/>
      <c r="B13" s="98"/>
      <c r="C13" s="27" t="s">
        <v>87</v>
      </c>
      <c r="D13" s="28" t="s">
        <v>1</v>
      </c>
      <c r="E13" s="75">
        <v>680</v>
      </c>
      <c r="F13" s="75">
        <v>637.1</v>
      </c>
      <c r="G13" s="75">
        <v>641</v>
      </c>
      <c r="H13" s="75">
        <v>681.9</v>
      </c>
      <c r="I13" s="75">
        <v>693.61290322580646</v>
      </c>
      <c r="J13" s="75">
        <v>694</v>
      </c>
      <c r="K13" s="75">
        <v>696.41935483870964</v>
      </c>
      <c r="L13" s="75">
        <v>740.87096774193549</v>
      </c>
      <c r="M13" s="75">
        <v>786.9</v>
      </c>
      <c r="N13" s="75">
        <v>802.58064516129036</v>
      </c>
      <c r="O13" s="75">
        <v>798.33333333333337</v>
      </c>
      <c r="P13" s="17">
        <v>816</v>
      </c>
      <c r="Q13" s="17">
        <v>759</v>
      </c>
      <c r="R13" s="17">
        <v>740</v>
      </c>
      <c r="S13" s="17">
        <v>754</v>
      </c>
      <c r="T13" s="17">
        <v>711</v>
      </c>
      <c r="U13" s="17">
        <v>656</v>
      </c>
      <c r="V13" s="17">
        <v>663</v>
      </c>
      <c r="W13" s="17">
        <v>686</v>
      </c>
      <c r="X13" s="17">
        <v>641</v>
      </c>
      <c r="Y13" s="17">
        <v>631</v>
      </c>
      <c r="Z13" s="17">
        <v>641</v>
      </c>
      <c r="AA13" s="17">
        <v>622</v>
      </c>
      <c r="AB13" s="17">
        <v>620</v>
      </c>
      <c r="AC13" s="17">
        <v>593</v>
      </c>
      <c r="AD13" s="17">
        <v>571</v>
      </c>
      <c r="AE13" s="17">
        <v>580</v>
      </c>
      <c r="AF13" s="17">
        <v>586</v>
      </c>
      <c r="AG13" s="17">
        <v>541.58064516129036</v>
      </c>
      <c r="AH13" s="17">
        <v>535.33333333333337</v>
      </c>
      <c r="AI13" s="17">
        <v>529.87096774193549</v>
      </c>
      <c r="AJ13" s="17">
        <v>508.74193548387098</v>
      </c>
      <c r="AK13" s="17">
        <v>499</v>
      </c>
      <c r="AL13" s="17">
        <v>482</v>
      </c>
      <c r="AM13" s="17">
        <v>484</v>
      </c>
      <c r="AN13" s="17">
        <v>419</v>
      </c>
      <c r="AO13" s="17">
        <v>458.25806451612902</v>
      </c>
      <c r="AP13" s="17">
        <v>459</v>
      </c>
      <c r="AQ13" s="17">
        <v>445</v>
      </c>
      <c r="AR13" s="17">
        <v>340</v>
      </c>
      <c r="AS13" s="17">
        <v>466.32258064516128</v>
      </c>
      <c r="AT13" s="17">
        <f t="shared" si="0"/>
        <v>126.32258064516128</v>
      </c>
      <c r="AU13" s="1"/>
      <c r="AV13" s="1"/>
      <c r="AW13" s="1"/>
    </row>
    <row r="14" spans="1:49" s="5" customFormat="1" ht="16.5" customHeight="1" x14ac:dyDescent="0.2">
      <c r="A14" s="96"/>
      <c r="B14" s="98"/>
      <c r="C14" s="27" t="s">
        <v>85</v>
      </c>
      <c r="D14" s="28" t="s">
        <v>88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105</v>
      </c>
      <c r="AS14" s="17">
        <v>0</v>
      </c>
      <c r="AT14" s="17">
        <f t="shared" si="0"/>
        <v>-105</v>
      </c>
      <c r="AU14" s="1"/>
      <c r="AV14" s="1"/>
      <c r="AW14" s="1"/>
    </row>
    <row r="15" spans="1:49" s="5" customFormat="1" ht="16.5" customHeight="1" x14ac:dyDescent="0.2">
      <c r="A15" s="96"/>
      <c r="B15" s="98"/>
      <c r="C15" s="27" t="s">
        <v>87</v>
      </c>
      <c r="D15" s="28" t="s">
        <v>2</v>
      </c>
      <c r="E15" s="75">
        <v>1832</v>
      </c>
      <c r="F15" s="75">
        <v>1954.1</v>
      </c>
      <c r="G15" s="75">
        <v>2382</v>
      </c>
      <c r="H15" s="75">
        <v>2574</v>
      </c>
      <c r="I15" s="75">
        <f>83227/31</f>
        <v>2684.7419354838707</v>
      </c>
      <c r="J15" s="75">
        <v>3220</v>
      </c>
      <c r="K15" s="75">
        <f>103886/31</f>
        <v>3351.1612903225805</v>
      </c>
      <c r="L15" s="75">
        <f>94649/31</f>
        <v>3053.1935483870966</v>
      </c>
      <c r="M15" s="75">
        <f>79209/30</f>
        <v>2640.3</v>
      </c>
      <c r="N15" s="75">
        <f>82157/31</f>
        <v>2650.2258064516127</v>
      </c>
      <c r="O15" s="75">
        <f>72335/30</f>
        <v>2411.1666666666665</v>
      </c>
      <c r="P15" s="17">
        <v>2319</v>
      </c>
      <c r="Q15" s="17">
        <v>2263</v>
      </c>
      <c r="R15" s="17">
        <v>2292</v>
      </c>
      <c r="S15" s="17">
        <v>2645</v>
      </c>
      <c r="T15" s="17">
        <v>2408</v>
      </c>
      <c r="U15" s="17">
        <v>2249</v>
      </c>
      <c r="V15" s="17">
        <v>2187</v>
      </c>
      <c r="W15" s="17">
        <v>2134</v>
      </c>
      <c r="X15" s="17">
        <v>2023</v>
      </c>
      <c r="Y15" s="17">
        <v>1960</v>
      </c>
      <c r="Z15" s="17">
        <v>1878</v>
      </c>
      <c r="AA15" s="17">
        <v>1825</v>
      </c>
      <c r="AB15" s="17">
        <v>1891</v>
      </c>
      <c r="AC15" s="17">
        <v>1875</v>
      </c>
      <c r="AD15" s="17">
        <v>1856</v>
      </c>
      <c r="AE15" s="17">
        <v>1688</v>
      </c>
      <c r="AF15" s="17">
        <v>1762</v>
      </c>
      <c r="AG15" s="17">
        <v>1798.8064516129032</v>
      </c>
      <c r="AH15" s="17">
        <v>1671.5</v>
      </c>
      <c r="AI15" s="17">
        <v>1708.3225806451612</v>
      </c>
      <c r="AJ15" s="17">
        <v>1625.0322580645161</v>
      </c>
      <c r="AK15" s="17">
        <v>1974</v>
      </c>
      <c r="AL15" s="17">
        <v>2242</v>
      </c>
      <c r="AM15" s="17">
        <v>2317</v>
      </c>
      <c r="AN15" s="17">
        <v>2192</v>
      </c>
      <c r="AO15" s="17">
        <v>2040.258064516129</v>
      </c>
      <c r="AP15" s="17">
        <v>2032</v>
      </c>
      <c r="AQ15" s="17">
        <v>1937.8064516129032</v>
      </c>
      <c r="AR15" s="17">
        <v>2004</v>
      </c>
      <c r="AS15" s="17">
        <v>2181.2903225806454</v>
      </c>
      <c r="AT15" s="17">
        <f t="shared" si="0"/>
        <v>177.29032258064535</v>
      </c>
      <c r="AU15" s="1"/>
      <c r="AV15" s="1"/>
      <c r="AW15" s="1"/>
    </row>
    <row r="16" spans="1:49" s="5" customFormat="1" ht="16.5" customHeight="1" x14ac:dyDescent="0.2">
      <c r="A16" s="96"/>
      <c r="B16" s="98"/>
      <c r="C16" s="27" t="s">
        <v>85</v>
      </c>
      <c r="D16" s="28" t="s">
        <v>86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41.838709677419352</v>
      </c>
      <c r="AR16" s="17">
        <v>0</v>
      </c>
      <c r="AS16" s="17">
        <v>0</v>
      </c>
      <c r="AT16" s="17">
        <f t="shared" si="0"/>
        <v>0</v>
      </c>
      <c r="AU16" s="1"/>
      <c r="AV16" s="1"/>
      <c r="AW16" s="1"/>
    </row>
    <row r="17" spans="1:49" s="5" customFormat="1" ht="16.5" customHeight="1" x14ac:dyDescent="0.2">
      <c r="A17" s="96"/>
      <c r="B17" s="98"/>
      <c r="C17" s="27" t="s">
        <v>87</v>
      </c>
      <c r="D17" s="28" t="s">
        <v>3</v>
      </c>
      <c r="E17" s="75">
        <v>98</v>
      </c>
      <c r="F17" s="75">
        <v>109.1</v>
      </c>
      <c r="G17" s="75">
        <v>106</v>
      </c>
      <c r="H17" s="75">
        <v>106</v>
      </c>
      <c r="I17" s="75">
        <v>105.61290322580645</v>
      </c>
      <c r="J17" s="75">
        <v>88</v>
      </c>
      <c r="K17" s="75">
        <v>119.61290322580645</v>
      </c>
      <c r="L17" s="75">
        <v>102.64516129032258</v>
      </c>
      <c r="M17" s="75">
        <v>106.83333333333333</v>
      </c>
      <c r="N17" s="75">
        <v>99.677419354838705</v>
      </c>
      <c r="O17" s="75">
        <v>108.6</v>
      </c>
      <c r="P17" s="17">
        <v>110</v>
      </c>
      <c r="Q17" s="17">
        <v>106</v>
      </c>
      <c r="R17" s="17">
        <v>100</v>
      </c>
      <c r="S17" s="17">
        <v>102</v>
      </c>
      <c r="T17" s="17">
        <v>98</v>
      </c>
      <c r="U17" s="17">
        <v>99</v>
      </c>
      <c r="V17" s="17">
        <v>88</v>
      </c>
      <c r="W17" s="17">
        <v>98</v>
      </c>
      <c r="X17" s="17">
        <v>88</v>
      </c>
      <c r="Y17" s="17">
        <v>99</v>
      </c>
      <c r="Z17" s="17">
        <v>81</v>
      </c>
      <c r="AA17" s="17">
        <v>92</v>
      </c>
      <c r="AB17" s="17">
        <v>83</v>
      </c>
      <c r="AC17" s="17">
        <v>85</v>
      </c>
      <c r="AD17" s="17">
        <v>85</v>
      </c>
      <c r="AE17" s="17">
        <v>69</v>
      </c>
      <c r="AF17" s="17">
        <v>81</v>
      </c>
      <c r="AG17" s="17">
        <v>77.903225806451616</v>
      </c>
      <c r="AH17" s="17">
        <v>103.46666666666667</v>
      </c>
      <c r="AI17" s="17">
        <v>107.83870967741936</v>
      </c>
      <c r="AJ17" s="17">
        <v>121.19354838709677</v>
      </c>
      <c r="AK17" s="17">
        <v>100</v>
      </c>
      <c r="AL17" s="17">
        <v>106</v>
      </c>
      <c r="AM17" s="17">
        <v>92</v>
      </c>
      <c r="AN17" s="17">
        <v>92</v>
      </c>
      <c r="AO17" s="17">
        <v>77.032258064516128</v>
      </c>
      <c r="AP17" s="17">
        <v>61</v>
      </c>
      <c r="AQ17" s="17">
        <v>88.387096774193552</v>
      </c>
      <c r="AR17" s="17">
        <v>125</v>
      </c>
      <c r="AS17" s="17">
        <v>137.25806451612902</v>
      </c>
      <c r="AT17" s="17">
        <f t="shared" si="0"/>
        <v>12.258064516129025</v>
      </c>
      <c r="AU17" s="1"/>
      <c r="AV17" s="1"/>
      <c r="AW17" s="1"/>
    </row>
    <row r="18" spans="1:49" s="5" customFormat="1" ht="15.75" customHeight="1" x14ac:dyDescent="0.2">
      <c r="A18" s="96"/>
      <c r="B18" s="98"/>
      <c r="C18" s="27" t="s">
        <v>17</v>
      </c>
      <c r="D18" s="28" t="s">
        <v>40</v>
      </c>
      <c r="E18" s="75">
        <v>4187</v>
      </c>
      <c r="F18" s="75">
        <v>4157.1000000000004</v>
      </c>
      <c r="G18" s="75">
        <v>4070</v>
      </c>
      <c r="H18" s="75">
        <v>3904</v>
      </c>
      <c r="I18" s="75">
        <f>120055/31</f>
        <v>3872.7419354838707</v>
      </c>
      <c r="J18" s="75">
        <v>3842</v>
      </c>
      <c r="K18" s="75">
        <f>115250/31</f>
        <v>3717.7419354838707</v>
      </c>
      <c r="L18" s="75">
        <f>116677/31</f>
        <v>3763.7741935483873</v>
      </c>
      <c r="M18" s="75">
        <f>112577/30</f>
        <v>3752.5666666666666</v>
      </c>
      <c r="N18" s="75">
        <f>120051/31</f>
        <v>3872.6129032258063</v>
      </c>
      <c r="O18" s="75">
        <f>115749/30</f>
        <v>3858.3</v>
      </c>
      <c r="P18" s="17">
        <v>3787</v>
      </c>
      <c r="Q18" s="17">
        <v>3843</v>
      </c>
      <c r="R18" s="17">
        <v>3663</v>
      </c>
      <c r="S18" s="17">
        <v>3721</v>
      </c>
      <c r="T18" s="17">
        <v>3518</v>
      </c>
      <c r="U18" s="17">
        <v>3406</v>
      </c>
      <c r="V18" s="17">
        <v>3548</v>
      </c>
      <c r="W18" s="17">
        <v>3469</v>
      </c>
      <c r="X18" s="17">
        <v>3534</v>
      </c>
      <c r="Y18" s="17">
        <v>3507</v>
      </c>
      <c r="Z18" s="17">
        <v>3428</v>
      </c>
      <c r="AA18" s="17">
        <v>3293</v>
      </c>
      <c r="AB18" s="17">
        <v>2818</v>
      </c>
      <c r="AC18" s="17">
        <v>3360</v>
      </c>
      <c r="AD18" s="17">
        <v>3485</v>
      </c>
      <c r="AE18" s="17">
        <v>3437</v>
      </c>
      <c r="AF18" s="17">
        <v>3515</v>
      </c>
      <c r="AG18" s="17">
        <v>3951.9677419354839</v>
      </c>
      <c r="AH18" s="17">
        <v>4407.6333333333332</v>
      </c>
      <c r="AI18" s="17">
        <v>4326.7741935483873</v>
      </c>
      <c r="AJ18" s="17">
        <v>4471.3870967741932</v>
      </c>
      <c r="AK18" s="17">
        <v>4109</v>
      </c>
      <c r="AL18" s="17">
        <v>4097</v>
      </c>
      <c r="AM18" s="17">
        <v>4022</v>
      </c>
      <c r="AN18" s="17">
        <v>4014</v>
      </c>
      <c r="AO18" s="17">
        <v>3843.7096774193546</v>
      </c>
      <c r="AP18" s="17">
        <v>3655</v>
      </c>
      <c r="AQ18" s="17">
        <v>3641.2580645161293</v>
      </c>
      <c r="AR18" s="17">
        <v>3710</v>
      </c>
      <c r="AS18" s="17">
        <v>3727.2258064516127</v>
      </c>
      <c r="AT18" s="17">
        <f t="shared" si="0"/>
        <v>17.225806451612698</v>
      </c>
      <c r="AU18" s="1"/>
      <c r="AV18" s="1"/>
      <c r="AW18" s="1"/>
    </row>
    <row r="19" spans="1:49" s="5" customFormat="1" ht="16.5" hidden="1" customHeight="1" x14ac:dyDescent="0.2">
      <c r="A19" s="96"/>
      <c r="B19" s="98"/>
      <c r="C19" s="27" t="s">
        <v>17</v>
      </c>
      <c r="D19" s="28" t="s">
        <v>4</v>
      </c>
      <c r="E19" s="17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>
        <v>0</v>
      </c>
      <c r="AG19" s="17">
        <v>0</v>
      </c>
      <c r="AH19" s="17">
        <v>0</v>
      </c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>
        <f t="shared" ref="AT19:AT21" si="1">+AR19-AQ19</f>
        <v>0</v>
      </c>
      <c r="AU19" s="1"/>
      <c r="AV19" s="1"/>
      <c r="AW19" s="1"/>
    </row>
    <row r="20" spans="1:49" s="5" customFormat="1" ht="16.5" customHeight="1" x14ac:dyDescent="0.2">
      <c r="A20" s="96"/>
      <c r="B20" s="98"/>
      <c r="C20" s="27" t="s">
        <v>25</v>
      </c>
      <c r="D20" s="28" t="s">
        <v>5</v>
      </c>
      <c r="E20" s="75">
        <v>174</v>
      </c>
      <c r="F20" s="75">
        <v>171.1</v>
      </c>
      <c r="G20" s="75">
        <v>173</v>
      </c>
      <c r="H20" s="75">
        <v>171</v>
      </c>
      <c r="I20" s="75">
        <v>165.29032258064515</v>
      </c>
      <c r="J20" s="75">
        <v>171</v>
      </c>
      <c r="K20" s="75">
        <v>171.16129032258064</v>
      </c>
      <c r="L20" s="75">
        <v>161.35483870967741</v>
      </c>
      <c r="M20" s="75">
        <v>166.76666666666668</v>
      </c>
      <c r="N20" s="75">
        <v>170.74193548387098</v>
      </c>
      <c r="O20" s="75">
        <v>167.96666666666667</v>
      </c>
      <c r="P20" s="17">
        <v>168</v>
      </c>
      <c r="Q20" s="17">
        <v>168</v>
      </c>
      <c r="R20" s="17">
        <v>168</v>
      </c>
      <c r="S20" s="17">
        <v>165</v>
      </c>
      <c r="T20" s="17">
        <v>166</v>
      </c>
      <c r="U20" s="17">
        <v>158</v>
      </c>
      <c r="V20" s="17">
        <v>156</v>
      </c>
      <c r="W20" s="17">
        <v>156</v>
      </c>
      <c r="X20" s="17">
        <v>155</v>
      </c>
      <c r="Y20" s="17">
        <v>163</v>
      </c>
      <c r="Z20" s="17">
        <v>167</v>
      </c>
      <c r="AA20" s="17">
        <v>152</v>
      </c>
      <c r="AB20" s="17">
        <v>167</v>
      </c>
      <c r="AC20" s="17">
        <v>158</v>
      </c>
      <c r="AD20" s="17">
        <v>155</v>
      </c>
      <c r="AE20" s="17">
        <v>154</v>
      </c>
      <c r="AF20" s="17">
        <v>151</v>
      </c>
      <c r="AG20" s="17">
        <v>153.45161290322579</v>
      </c>
      <c r="AH20" s="17">
        <v>165.03333333333333</v>
      </c>
      <c r="AI20" s="17">
        <v>151.7741935483871</v>
      </c>
      <c r="AJ20" s="17">
        <v>152.90322580645162</v>
      </c>
      <c r="AK20" s="17">
        <v>151</v>
      </c>
      <c r="AL20" s="17">
        <v>153</v>
      </c>
      <c r="AM20" s="17">
        <v>160</v>
      </c>
      <c r="AN20" s="17">
        <v>155</v>
      </c>
      <c r="AO20" s="17">
        <v>155</v>
      </c>
      <c r="AP20" s="17">
        <v>159</v>
      </c>
      <c r="AQ20" s="17">
        <v>156.06451612903226</v>
      </c>
      <c r="AR20" s="17">
        <v>153</v>
      </c>
      <c r="AS20" s="17">
        <v>152.70967741935485</v>
      </c>
      <c r="AT20" s="17">
        <f>+AS20-AR20</f>
        <v>-0.29032258064515304</v>
      </c>
      <c r="AU20" s="1"/>
      <c r="AV20" s="1"/>
      <c r="AW20" s="1"/>
    </row>
    <row r="21" spans="1:49" s="5" customFormat="1" ht="16.5" hidden="1" customHeight="1" x14ac:dyDescent="0.2">
      <c r="A21" s="96"/>
      <c r="B21" s="98"/>
      <c r="C21" s="27" t="s">
        <v>21</v>
      </c>
      <c r="D21" s="28" t="s">
        <v>6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>
        <v>0</v>
      </c>
      <c r="AG21" s="17">
        <v>0</v>
      </c>
      <c r="AH21" s="17">
        <v>0</v>
      </c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>
        <f t="shared" si="1"/>
        <v>0</v>
      </c>
      <c r="AU21" s="1"/>
      <c r="AV21" s="1"/>
      <c r="AW21" s="1"/>
    </row>
    <row r="22" spans="1:49" s="5" customFormat="1" ht="16.5" customHeight="1" x14ac:dyDescent="0.2">
      <c r="A22" s="96"/>
      <c r="B22" s="98"/>
      <c r="C22" s="27" t="s">
        <v>76</v>
      </c>
      <c r="D22" s="28" t="s">
        <v>6</v>
      </c>
      <c r="E22" s="75">
        <v>13636</v>
      </c>
      <c r="F22" s="75">
        <v>13663</v>
      </c>
      <c r="G22" s="75">
        <v>13886</v>
      </c>
      <c r="H22" s="75">
        <v>14174.96</v>
      </c>
      <c r="I22" s="75">
        <f>445432/31</f>
        <v>14368.774193548386</v>
      </c>
      <c r="J22" s="75">
        <v>14391</v>
      </c>
      <c r="K22" s="75">
        <f>446939/31</f>
        <v>14417.387096774193</v>
      </c>
      <c r="L22" s="75">
        <f>411601/31</f>
        <v>13277.451612903225</v>
      </c>
      <c r="M22" s="75">
        <f>456346/30</f>
        <v>15211.533333333333</v>
      </c>
      <c r="N22" s="75">
        <f>471561/31</f>
        <v>15211.645161290322</v>
      </c>
      <c r="O22" s="75">
        <f>455211/30</f>
        <v>15173.7</v>
      </c>
      <c r="P22" s="17">
        <v>14446</v>
      </c>
      <c r="Q22" s="17">
        <v>14902</v>
      </c>
      <c r="R22" s="17">
        <v>14791</v>
      </c>
      <c r="S22" s="17">
        <v>14380</v>
      </c>
      <c r="T22" s="17">
        <v>13238</v>
      </c>
      <c r="U22" s="17">
        <v>13259</v>
      </c>
      <c r="V22" s="17">
        <v>12784</v>
      </c>
      <c r="W22" s="17">
        <v>12621</v>
      </c>
      <c r="X22" s="17">
        <v>12447</v>
      </c>
      <c r="Y22" s="17">
        <v>12312</v>
      </c>
      <c r="Z22" s="17">
        <v>12183</v>
      </c>
      <c r="AA22" s="17">
        <v>12220</v>
      </c>
      <c r="AB22" s="17">
        <v>12222</v>
      </c>
      <c r="AC22" s="17">
        <v>12069</v>
      </c>
      <c r="AD22" s="17">
        <v>12016</v>
      </c>
      <c r="AE22" s="17">
        <v>11793</v>
      </c>
      <c r="AF22" s="17">
        <v>11634</v>
      </c>
      <c r="AG22" s="17">
        <v>11755.612903225807</v>
      </c>
      <c r="AH22" s="17">
        <v>11936.666666666666</v>
      </c>
      <c r="AI22" s="17">
        <v>12046.870967741936</v>
      </c>
      <c r="AJ22" s="17">
        <v>12153.645161290322</v>
      </c>
      <c r="AK22" s="17">
        <v>12122</v>
      </c>
      <c r="AL22" s="17">
        <v>12502</v>
      </c>
      <c r="AM22" s="17">
        <v>12552</v>
      </c>
      <c r="AN22" s="17">
        <v>12320</v>
      </c>
      <c r="AO22" s="17">
        <v>12025.322580645161</v>
      </c>
      <c r="AP22" s="17">
        <v>11802</v>
      </c>
      <c r="AQ22" s="17">
        <v>11775.741935483871</v>
      </c>
      <c r="AR22" s="17">
        <v>11578</v>
      </c>
      <c r="AS22" s="17">
        <v>11350.935483870968</v>
      </c>
      <c r="AT22" s="17">
        <f>+AS22-AR22</f>
        <v>-227.0645161290322</v>
      </c>
      <c r="AU22" s="1"/>
      <c r="AV22" s="1"/>
      <c r="AW22" s="1"/>
    </row>
    <row r="23" spans="1:49" s="5" customFormat="1" ht="16.5" customHeight="1" x14ac:dyDescent="0.2">
      <c r="A23" s="96"/>
      <c r="B23" s="98"/>
      <c r="C23" s="27" t="s">
        <v>28</v>
      </c>
      <c r="D23" s="28" t="s">
        <v>29</v>
      </c>
      <c r="E23" s="75">
        <v>1982</v>
      </c>
      <c r="F23" s="75">
        <v>1964.1</v>
      </c>
      <c r="G23" s="75">
        <v>1859</v>
      </c>
      <c r="H23" s="75">
        <v>2107</v>
      </c>
      <c r="I23" s="75">
        <f>59558/31</f>
        <v>1921.2258064516129</v>
      </c>
      <c r="J23" s="75">
        <v>1955</v>
      </c>
      <c r="K23" s="75">
        <f>66570/31</f>
        <v>2147.4193548387098</v>
      </c>
      <c r="L23" s="75">
        <f>66497/31</f>
        <v>2145.0645161290322</v>
      </c>
      <c r="M23" s="75">
        <f>63313/30</f>
        <v>2110.4333333333334</v>
      </c>
      <c r="N23" s="75">
        <f>56207/31</f>
        <v>1813.1290322580646</v>
      </c>
      <c r="O23" s="75">
        <f>55392/30</f>
        <v>1846.4</v>
      </c>
      <c r="P23" s="17">
        <v>1751</v>
      </c>
      <c r="Q23" s="17">
        <v>1714</v>
      </c>
      <c r="R23" s="17">
        <v>1656</v>
      </c>
      <c r="S23" s="17">
        <v>1557</v>
      </c>
      <c r="T23" s="17">
        <v>1475</v>
      </c>
      <c r="U23" s="17">
        <v>1401</v>
      </c>
      <c r="V23" s="17">
        <v>1320</v>
      </c>
      <c r="W23" s="17">
        <v>1342</v>
      </c>
      <c r="X23" s="17">
        <v>1320</v>
      </c>
      <c r="Y23" s="17">
        <v>1297</v>
      </c>
      <c r="Z23" s="17">
        <v>1266</v>
      </c>
      <c r="AA23" s="17">
        <v>1189</v>
      </c>
      <c r="AB23" s="17">
        <v>1164</v>
      </c>
      <c r="AC23" s="17">
        <v>1124</v>
      </c>
      <c r="AD23" s="17">
        <v>1121</v>
      </c>
      <c r="AE23" s="17">
        <v>1087</v>
      </c>
      <c r="AF23" s="17">
        <v>1053</v>
      </c>
      <c r="AG23" s="17">
        <v>1053.6774193548388</v>
      </c>
      <c r="AH23" s="17">
        <v>1046.3</v>
      </c>
      <c r="AI23" s="17">
        <v>1044.1290322580646</v>
      </c>
      <c r="AJ23" s="17">
        <v>1034.3870967741937</v>
      </c>
      <c r="AK23" s="17">
        <v>1008</v>
      </c>
      <c r="AL23" s="17">
        <v>1165</v>
      </c>
      <c r="AM23" s="17">
        <v>1753</v>
      </c>
      <c r="AN23" s="17">
        <v>1670</v>
      </c>
      <c r="AO23" s="17">
        <v>1561.8387096774193</v>
      </c>
      <c r="AP23" s="17">
        <v>1421</v>
      </c>
      <c r="AQ23" s="17">
        <v>1874.6129032258063</v>
      </c>
      <c r="AR23" s="17">
        <v>2492</v>
      </c>
      <c r="AS23" s="17">
        <v>2388.3548387096776</v>
      </c>
      <c r="AT23" s="17">
        <f>+AS23-AR23</f>
        <v>-103.64516129032245</v>
      </c>
      <c r="AU23" s="1"/>
      <c r="AV23" s="1"/>
      <c r="AW23" s="1"/>
    </row>
    <row r="24" spans="1:49" s="5" customFormat="1" ht="16.5" customHeight="1" x14ac:dyDescent="0.2">
      <c r="A24" s="96"/>
      <c r="B24" s="98"/>
      <c r="C24" s="27" t="s">
        <v>71</v>
      </c>
      <c r="D24" s="28" t="s">
        <v>27</v>
      </c>
      <c r="E24" s="75">
        <v>35</v>
      </c>
      <c r="F24" s="75">
        <v>33</v>
      </c>
      <c r="G24" s="75">
        <v>32</v>
      </c>
      <c r="H24" s="75">
        <v>34</v>
      </c>
      <c r="I24" s="75">
        <v>33.096774193548384</v>
      </c>
      <c r="J24" s="75">
        <v>33</v>
      </c>
      <c r="K24" s="75">
        <v>32.387096774193552</v>
      </c>
      <c r="L24" s="75">
        <v>33.41935483870968</v>
      </c>
      <c r="M24" s="75">
        <v>33.4</v>
      </c>
      <c r="N24" s="75">
        <v>42.967741935483872</v>
      </c>
      <c r="O24" s="75">
        <v>55.43333333333333</v>
      </c>
      <c r="P24" s="17">
        <v>42</v>
      </c>
      <c r="Q24" s="17">
        <v>42</v>
      </c>
      <c r="R24" s="17">
        <v>38</v>
      </c>
      <c r="S24" s="17">
        <v>38</v>
      </c>
      <c r="T24" s="17">
        <v>38</v>
      </c>
      <c r="U24" s="17">
        <v>37</v>
      </c>
      <c r="V24" s="17">
        <v>33</v>
      </c>
      <c r="W24" s="17">
        <v>35</v>
      </c>
      <c r="X24" s="17">
        <v>31</v>
      </c>
      <c r="Y24" s="17">
        <v>31</v>
      </c>
      <c r="Z24" s="17">
        <v>35</v>
      </c>
      <c r="AA24" s="17">
        <v>34</v>
      </c>
      <c r="AB24" s="17">
        <v>31</v>
      </c>
      <c r="AC24" s="17">
        <v>30</v>
      </c>
      <c r="AD24" s="17">
        <v>32</v>
      </c>
      <c r="AE24" s="17">
        <v>29</v>
      </c>
      <c r="AF24" s="17">
        <v>31</v>
      </c>
      <c r="AG24" s="17">
        <v>30.741935483870968</v>
      </c>
      <c r="AH24" s="17">
        <v>29.366666666666667</v>
      </c>
      <c r="AI24" s="17">
        <v>25.35483870967742</v>
      </c>
      <c r="AJ24" s="17">
        <v>32.29032258064516</v>
      </c>
      <c r="AK24" s="17">
        <v>30</v>
      </c>
      <c r="AL24" s="17">
        <v>27</v>
      </c>
      <c r="AM24" s="17">
        <v>28</v>
      </c>
      <c r="AN24" s="17">
        <v>31</v>
      </c>
      <c r="AO24" s="17">
        <v>29.387096774193548</v>
      </c>
      <c r="AP24" s="17">
        <v>28</v>
      </c>
      <c r="AQ24" s="17">
        <v>28.548387096774192</v>
      </c>
      <c r="AR24" s="17">
        <v>29</v>
      </c>
      <c r="AS24" s="17">
        <v>28.677419354838708</v>
      </c>
      <c r="AT24" s="17">
        <f>+AS24-AR24</f>
        <v>-0.32258064516129181</v>
      </c>
      <c r="AU24" s="1"/>
      <c r="AV24" s="1"/>
      <c r="AW24" s="1"/>
    </row>
    <row r="25" spans="1:49" s="5" customFormat="1" ht="16.5" customHeight="1" thickBot="1" x14ac:dyDescent="0.25">
      <c r="A25" s="96"/>
      <c r="B25" s="98"/>
      <c r="C25" s="27" t="s">
        <v>71</v>
      </c>
      <c r="D25" s="28" t="s">
        <v>49</v>
      </c>
      <c r="E25" s="75">
        <v>16</v>
      </c>
      <c r="F25" s="75">
        <v>19.100000000000001</v>
      </c>
      <c r="G25" s="75">
        <v>19</v>
      </c>
      <c r="H25" s="75">
        <v>16</v>
      </c>
      <c r="I25" s="75">
        <v>15.290322580645162</v>
      </c>
      <c r="J25" s="75">
        <v>15</v>
      </c>
      <c r="K25" s="75">
        <v>15.193548387096774</v>
      </c>
      <c r="L25" s="75">
        <v>13.548387096774194</v>
      </c>
      <c r="M25" s="75">
        <v>14.933333333333334</v>
      </c>
      <c r="N25" s="75">
        <v>15.290322580645162</v>
      </c>
      <c r="O25" s="75">
        <v>14.866666666666667</v>
      </c>
      <c r="P25" s="17">
        <v>15</v>
      </c>
      <c r="Q25" s="17">
        <v>15</v>
      </c>
      <c r="R25" s="17">
        <v>14</v>
      </c>
      <c r="S25" s="17">
        <v>14</v>
      </c>
      <c r="T25" s="17">
        <v>14</v>
      </c>
      <c r="U25" s="17">
        <v>13</v>
      </c>
      <c r="V25" s="17">
        <v>14</v>
      </c>
      <c r="W25" s="17">
        <v>13</v>
      </c>
      <c r="X25" s="17">
        <v>14</v>
      </c>
      <c r="Y25" s="17">
        <v>13</v>
      </c>
      <c r="Z25" s="17">
        <v>13</v>
      </c>
      <c r="AA25" s="17">
        <v>15</v>
      </c>
      <c r="AB25" s="17">
        <v>13</v>
      </c>
      <c r="AC25" s="17">
        <v>14</v>
      </c>
      <c r="AD25" s="17">
        <v>12</v>
      </c>
      <c r="AE25" s="17">
        <v>14</v>
      </c>
      <c r="AF25" s="17">
        <v>17</v>
      </c>
      <c r="AG25" s="17">
        <v>14.741935483870968</v>
      </c>
      <c r="AH25" s="17">
        <v>12.5</v>
      </c>
      <c r="AI25" s="17">
        <v>10.161290322580646</v>
      </c>
      <c r="AJ25" s="17">
        <v>9.8387096774193541</v>
      </c>
      <c r="AK25" s="17">
        <v>10</v>
      </c>
      <c r="AL25" s="17">
        <v>10</v>
      </c>
      <c r="AM25" s="17">
        <v>10</v>
      </c>
      <c r="AN25" s="17">
        <v>9</v>
      </c>
      <c r="AO25" s="17">
        <v>9.387096774193548</v>
      </c>
      <c r="AP25" s="17">
        <v>11</v>
      </c>
      <c r="AQ25" s="17">
        <v>10.64516129032258</v>
      </c>
      <c r="AR25" s="17">
        <v>10</v>
      </c>
      <c r="AS25" s="17">
        <v>9.32258064516129</v>
      </c>
      <c r="AT25" s="17">
        <f>+AS25-AR25</f>
        <v>-0.67741935483870996</v>
      </c>
      <c r="AU25" s="1"/>
      <c r="AV25" s="1"/>
      <c r="AW25" s="1"/>
    </row>
    <row r="26" spans="1:49" s="5" customFormat="1" ht="21.75" customHeight="1" thickTop="1" thickBot="1" x14ac:dyDescent="0.25">
      <c r="B26" s="29"/>
      <c r="C26" s="95" t="s">
        <v>46</v>
      </c>
      <c r="D26" s="95"/>
      <c r="E26" s="31">
        <f t="shared" ref="E26:Y26" si="2">+SUM(E11:E25)</f>
        <v>23587</v>
      </c>
      <c r="F26" s="31">
        <f t="shared" si="2"/>
        <v>23630.899999999998</v>
      </c>
      <c r="G26" s="31">
        <f t="shared" si="2"/>
        <v>24055</v>
      </c>
      <c r="H26" s="31">
        <f t="shared" si="2"/>
        <v>24773.72</v>
      </c>
      <c r="I26" s="31">
        <f t="shared" si="2"/>
        <v>24820.903225806451</v>
      </c>
      <c r="J26" s="31">
        <f t="shared" si="2"/>
        <v>25310</v>
      </c>
      <c r="K26" s="31">
        <f t="shared" si="2"/>
        <v>25638.741935483871</v>
      </c>
      <c r="L26" s="31">
        <f t="shared" si="2"/>
        <v>24295.387096774193</v>
      </c>
      <c r="M26" s="31">
        <f t="shared" si="2"/>
        <v>25812.733333333337</v>
      </c>
      <c r="N26" s="31">
        <f t="shared" si="2"/>
        <v>25735.870967741936</v>
      </c>
      <c r="O26" s="31">
        <f t="shared" si="2"/>
        <v>25472.033333333336</v>
      </c>
      <c r="P26" s="31">
        <f t="shared" si="2"/>
        <v>24480</v>
      </c>
      <c r="Q26" s="31">
        <f t="shared" si="2"/>
        <v>24815</v>
      </c>
      <c r="R26" s="31">
        <f t="shared" si="2"/>
        <v>24462</v>
      </c>
      <c r="S26" s="31">
        <f t="shared" si="2"/>
        <v>24384</v>
      </c>
      <c r="T26" s="31">
        <f t="shared" si="2"/>
        <v>22633</v>
      </c>
      <c r="U26" s="31">
        <f t="shared" si="2"/>
        <v>22177</v>
      </c>
      <c r="V26" s="31">
        <f t="shared" si="2"/>
        <v>21822</v>
      </c>
      <c r="W26" s="31">
        <f t="shared" si="2"/>
        <v>21632</v>
      </c>
      <c r="X26" s="31">
        <f t="shared" si="2"/>
        <v>21278</v>
      </c>
      <c r="Y26" s="31">
        <f t="shared" si="2"/>
        <v>21037</v>
      </c>
      <c r="Z26" s="31">
        <f>+SUM(Z11:Z25)</f>
        <v>20684</v>
      </c>
      <c r="AA26" s="31">
        <f>+SUM(AA11:AA25)</f>
        <v>20433</v>
      </c>
      <c r="AB26" s="31">
        <f>+SUM(AB11:AB25)</f>
        <v>19929</v>
      </c>
      <c r="AC26" s="31">
        <f>SUM(AC11:AC25)</f>
        <v>20290</v>
      </c>
      <c r="AD26" s="31">
        <f>SUM(AD11:AD25)</f>
        <v>20372</v>
      </c>
      <c r="AE26" s="31">
        <f t="shared" ref="AE26:AJ26" si="3">+SUM(AE11:AE25)</f>
        <v>19749</v>
      </c>
      <c r="AF26" s="31">
        <f t="shared" si="3"/>
        <v>19781</v>
      </c>
      <c r="AG26" s="31">
        <f t="shared" si="3"/>
        <v>20330.193548387095</v>
      </c>
      <c r="AH26" s="31">
        <f t="shared" si="3"/>
        <v>20859.466666666664</v>
      </c>
      <c r="AI26" s="31">
        <f t="shared" si="3"/>
        <v>20866.483870967742</v>
      </c>
      <c r="AJ26" s="31">
        <f t="shared" si="3"/>
        <v>21026.193548387095</v>
      </c>
      <c r="AK26" s="31">
        <f t="shared" ref="AK26:AS26" si="4">+SUM(AK11:AK25)</f>
        <v>20908</v>
      </c>
      <c r="AL26" s="31">
        <f t="shared" si="4"/>
        <v>21680</v>
      </c>
      <c r="AM26" s="31">
        <f t="shared" si="4"/>
        <v>22261</v>
      </c>
      <c r="AN26" s="31">
        <f t="shared" si="4"/>
        <v>21713</v>
      </c>
      <c r="AO26" s="31">
        <f t="shared" si="4"/>
        <v>21439.387096774193</v>
      </c>
      <c r="AP26" s="31">
        <f t="shared" si="4"/>
        <v>20643</v>
      </c>
      <c r="AQ26" s="31">
        <f t="shared" si="4"/>
        <v>20953.612903225803</v>
      </c>
      <c r="AR26" s="31">
        <f t="shared" si="4"/>
        <v>21538</v>
      </c>
      <c r="AS26" s="31">
        <f t="shared" si="4"/>
        <v>21361.322580645163</v>
      </c>
      <c r="AT26" s="31">
        <f>SUM(AT11:AT25)</f>
        <v>-176.67741935483852</v>
      </c>
      <c r="AU26" s="1"/>
      <c r="AV26" s="1"/>
      <c r="AW26" s="1"/>
    </row>
    <row r="27" spans="1:49" s="5" customFormat="1" ht="16.5" customHeight="1" thickTop="1" thickBot="1" x14ac:dyDescent="0.25">
      <c r="A27" s="92" t="s">
        <v>41</v>
      </c>
      <c r="B27" s="94" t="s">
        <v>77</v>
      </c>
      <c r="C27" s="27" t="s">
        <v>66</v>
      </c>
      <c r="D27" s="28" t="s">
        <v>15</v>
      </c>
      <c r="E27" s="75">
        <v>7603</v>
      </c>
      <c r="F27" s="75">
        <v>8115.1</v>
      </c>
      <c r="G27" s="75">
        <v>7280</v>
      </c>
      <c r="H27" s="75">
        <v>7522</v>
      </c>
      <c r="I27" s="75">
        <f>222909/31</f>
        <v>7190.6129032258068</v>
      </c>
      <c r="J27" s="75">
        <v>6789</v>
      </c>
      <c r="K27" s="75">
        <f>216346/31</f>
        <v>6978.9032258064517</v>
      </c>
      <c r="L27" s="75">
        <f>227463/31</f>
        <v>7337.5161290322585</v>
      </c>
      <c r="M27" s="75">
        <f>212302/30</f>
        <v>7076.7333333333336</v>
      </c>
      <c r="N27" s="75">
        <f>209422/31</f>
        <v>6755.5483870967746</v>
      </c>
      <c r="O27" s="75">
        <f>195880/30</f>
        <v>6529.333333333333</v>
      </c>
      <c r="P27" s="17">
        <v>6759</v>
      </c>
      <c r="Q27" s="17">
        <v>6739</v>
      </c>
      <c r="R27" s="17">
        <v>6281</v>
      </c>
      <c r="S27" s="17">
        <v>6036</v>
      </c>
      <c r="T27" s="17">
        <v>6554</v>
      </c>
      <c r="U27" s="17">
        <v>6625</v>
      </c>
      <c r="V27" s="17">
        <v>6046</v>
      </c>
      <c r="W27" s="17">
        <v>6142</v>
      </c>
      <c r="X27" s="17">
        <v>6309</v>
      </c>
      <c r="Y27" s="17">
        <v>5659</v>
      </c>
      <c r="Z27" s="17">
        <v>6190</v>
      </c>
      <c r="AA27" s="17">
        <v>6213</v>
      </c>
      <c r="AB27" s="17">
        <v>5719</v>
      </c>
      <c r="AC27" s="17">
        <v>5748</v>
      </c>
      <c r="AD27" s="17">
        <v>6022</v>
      </c>
      <c r="AE27" s="17">
        <v>5821</v>
      </c>
      <c r="AF27" s="17">
        <v>5827</v>
      </c>
      <c r="AG27" s="17">
        <v>6088.0967741935483</v>
      </c>
      <c r="AH27" s="17">
        <v>5705.3666666666668</v>
      </c>
      <c r="AI27" s="17">
        <v>6161.8064516129034</v>
      </c>
      <c r="AJ27" s="17">
        <v>5829.2903225806449</v>
      </c>
      <c r="AK27" s="17">
        <v>5539</v>
      </c>
      <c r="AL27" s="17">
        <v>5783</v>
      </c>
      <c r="AM27" s="17">
        <v>5736</v>
      </c>
      <c r="AN27" s="17">
        <v>5781</v>
      </c>
      <c r="AO27" s="17">
        <v>5560.3548387096771</v>
      </c>
      <c r="AP27" s="17">
        <v>5709</v>
      </c>
      <c r="AQ27" s="17">
        <v>5384.0322580645161</v>
      </c>
      <c r="AR27" s="17">
        <v>5343</v>
      </c>
      <c r="AS27" s="17">
        <v>5025.8709677419356</v>
      </c>
      <c r="AT27" s="17">
        <f>+AS27-AR27</f>
        <v>-317.1290322580644</v>
      </c>
      <c r="AU27" s="1"/>
      <c r="AV27" s="1"/>
      <c r="AW27" s="1"/>
    </row>
    <row r="28" spans="1:49" s="5" customFormat="1" ht="16.5" hidden="1" customHeight="1" thickTop="1" thickBot="1" x14ac:dyDescent="0.25">
      <c r="A28" s="92"/>
      <c r="B28" s="94"/>
      <c r="C28" s="27" t="s">
        <v>66</v>
      </c>
      <c r="D28" s="28"/>
      <c r="E28" s="17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>
        <v>0</v>
      </c>
      <c r="AK28" s="17"/>
      <c r="AL28" s="17"/>
      <c r="AM28" s="17"/>
      <c r="AN28" s="17"/>
      <c r="AO28" s="17"/>
      <c r="AP28" s="17"/>
      <c r="AQ28" s="17"/>
      <c r="AR28" s="17">
        <v>0</v>
      </c>
      <c r="AS28" s="17"/>
      <c r="AT28" s="17">
        <f t="shared" ref="AT28" si="5">+AN28-AM28</f>
        <v>0</v>
      </c>
      <c r="AU28" s="1"/>
      <c r="AV28" s="1"/>
      <c r="AW28" s="1"/>
    </row>
    <row r="29" spans="1:49" s="5" customFormat="1" ht="16.5" customHeight="1" thickTop="1" thickBot="1" x14ac:dyDescent="0.25">
      <c r="A29" s="92"/>
      <c r="B29" s="94"/>
      <c r="C29" s="27" t="s">
        <v>66</v>
      </c>
      <c r="D29" s="28" t="s">
        <v>67</v>
      </c>
      <c r="E29" s="17">
        <v>111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f>+AS29-AR29</f>
        <v>0</v>
      </c>
      <c r="AU29" s="1"/>
      <c r="AV29" s="1"/>
      <c r="AW29" s="1"/>
    </row>
    <row r="30" spans="1:49" s="5" customFormat="1" ht="21" customHeight="1" thickTop="1" thickBot="1" x14ac:dyDescent="0.25">
      <c r="A30" s="93"/>
      <c r="B30" s="76" t="s">
        <v>51</v>
      </c>
      <c r="C30" s="27" t="s">
        <v>64</v>
      </c>
      <c r="D30" s="28" t="s">
        <v>50</v>
      </c>
      <c r="E30" s="17">
        <v>0</v>
      </c>
      <c r="F30" s="75">
        <v>2861.1</v>
      </c>
      <c r="G30" s="75">
        <v>1829</v>
      </c>
      <c r="H30" s="75">
        <v>0</v>
      </c>
      <c r="I30" s="75">
        <f>58432/31</f>
        <v>1884.9032258064517</v>
      </c>
      <c r="J30" s="75">
        <v>1833</v>
      </c>
      <c r="K30" s="75">
        <v>0</v>
      </c>
      <c r="L30" s="75">
        <f>54420/31</f>
        <v>1755.483870967742</v>
      </c>
      <c r="M30" s="75">
        <f>53815/30</f>
        <v>1793.8333333333333</v>
      </c>
      <c r="N30" s="75">
        <v>0</v>
      </c>
      <c r="O30" s="75">
        <f>77973/30</f>
        <v>2599.1</v>
      </c>
      <c r="P30" s="17">
        <v>1307</v>
      </c>
      <c r="Q30" s="17">
        <v>0</v>
      </c>
      <c r="R30" s="17">
        <v>1120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f>+AS30-AR30</f>
        <v>0</v>
      </c>
      <c r="AU30" s="1"/>
      <c r="AV30" s="1"/>
      <c r="AW30" s="1"/>
    </row>
    <row r="31" spans="1:49" s="5" customFormat="1" ht="19.5" customHeight="1" thickTop="1" thickBot="1" x14ac:dyDescent="0.25">
      <c r="B31" s="34"/>
      <c r="C31" s="99" t="s">
        <v>47</v>
      </c>
      <c r="D31" s="99"/>
      <c r="E31" s="37">
        <f t="shared" ref="E31:Y31" si="6">+SUM(E27:E30)</f>
        <v>7714</v>
      </c>
      <c r="F31" s="37">
        <f t="shared" si="6"/>
        <v>10976.2</v>
      </c>
      <c r="G31" s="37">
        <f t="shared" si="6"/>
        <v>9109</v>
      </c>
      <c r="H31" s="37">
        <f t="shared" si="6"/>
        <v>7522</v>
      </c>
      <c r="I31" s="37">
        <f t="shared" si="6"/>
        <v>9075.5161290322576</v>
      </c>
      <c r="J31" s="37">
        <f t="shared" si="6"/>
        <v>8622</v>
      </c>
      <c r="K31" s="37">
        <f t="shared" si="6"/>
        <v>6978.9032258064517</v>
      </c>
      <c r="L31" s="37">
        <f t="shared" si="6"/>
        <v>9093</v>
      </c>
      <c r="M31" s="37">
        <f t="shared" si="6"/>
        <v>8870.5666666666675</v>
      </c>
      <c r="N31" s="37">
        <f t="shared" si="6"/>
        <v>6755.5483870967746</v>
      </c>
      <c r="O31" s="37">
        <f t="shared" si="6"/>
        <v>9128.4333333333325</v>
      </c>
      <c r="P31" s="37">
        <f t="shared" si="6"/>
        <v>8066</v>
      </c>
      <c r="Q31" s="37">
        <f t="shared" si="6"/>
        <v>6739</v>
      </c>
      <c r="R31" s="37">
        <f t="shared" si="6"/>
        <v>7401</v>
      </c>
      <c r="S31" s="37">
        <f t="shared" si="6"/>
        <v>6036</v>
      </c>
      <c r="T31" s="37">
        <f t="shared" si="6"/>
        <v>6554</v>
      </c>
      <c r="U31" s="37">
        <f t="shared" si="6"/>
        <v>6625</v>
      </c>
      <c r="V31" s="37">
        <f t="shared" si="6"/>
        <v>6046</v>
      </c>
      <c r="W31" s="37">
        <f t="shared" si="6"/>
        <v>6142</v>
      </c>
      <c r="X31" s="37">
        <f t="shared" si="6"/>
        <v>6309</v>
      </c>
      <c r="Y31" s="37">
        <f t="shared" si="6"/>
        <v>5659</v>
      </c>
      <c r="Z31" s="37">
        <f>+SUM(Z27:Z30)</f>
        <v>6190</v>
      </c>
      <c r="AA31" s="37">
        <f>+SUM(AA27:AA30)</f>
        <v>6213</v>
      </c>
      <c r="AB31" s="37">
        <f>+SUM(AB27:AB30)</f>
        <v>5719</v>
      </c>
      <c r="AC31" s="37">
        <f>SUM(AC27:AC30)</f>
        <v>5748</v>
      </c>
      <c r="AD31" s="37">
        <f>SUM(AD27:AD30)</f>
        <v>6022</v>
      </c>
      <c r="AE31" s="37">
        <f t="shared" ref="AE31:AP31" si="7">+SUM(AE27:AE30)</f>
        <v>5821</v>
      </c>
      <c r="AF31" s="37">
        <f t="shared" si="7"/>
        <v>5827</v>
      </c>
      <c r="AG31" s="37">
        <f t="shared" si="7"/>
        <v>6088.0967741935483</v>
      </c>
      <c r="AH31" s="37">
        <f t="shared" si="7"/>
        <v>5705.3666666666668</v>
      </c>
      <c r="AI31" s="37">
        <f t="shared" si="7"/>
        <v>6161.8064516129034</v>
      </c>
      <c r="AJ31" s="37">
        <f t="shared" si="7"/>
        <v>5829.2903225806449</v>
      </c>
      <c r="AK31" s="37">
        <f t="shared" si="7"/>
        <v>5539</v>
      </c>
      <c r="AL31" s="37">
        <f t="shared" si="7"/>
        <v>5783</v>
      </c>
      <c r="AM31" s="37">
        <f t="shared" si="7"/>
        <v>5736</v>
      </c>
      <c r="AN31" s="37">
        <f t="shared" si="7"/>
        <v>5781</v>
      </c>
      <c r="AO31" s="37">
        <f t="shared" si="7"/>
        <v>5560.3548387096771</v>
      </c>
      <c r="AP31" s="37">
        <f t="shared" si="7"/>
        <v>5709</v>
      </c>
      <c r="AQ31" s="37">
        <f>+SUM(AQ27:AQ30)</f>
        <v>5384.0322580645161</v>
      </c>
      <c r="AR31" s="37">
        <f>+SUM(AR27:AR30)</f>
        <v>5343</v>
      </c>
      <c r="AS31" s="37">
        <f>+SUM(AS27:AS30)</f>
        <v>5025.8709677419356</v>
      </c>
      <c r="AT31" s="37">
        <f>SUM(AT27:AT30)</f>
        <v>-317.1290322580644</v>
      </c>
      <c r="AU31" s="1"/>
      <c r="AV31" s="1"/>
      <c r="AW31" s="1"/>
    </row>
    <row r="32" spans="1:49" s="5" customFormat="1" ht="15.75" hidden="1" customHeight="1" thickTop="1" thickBot="1" x14ac:dyDescent="0.25">
      <c r="A32" s="92" t="s">
        <v>69</v>
      </c>
      <c r="B32" s="94" t="s">
        <v>32</v>
      </c>
      <c r="C32" s="27" t="s">
        <v>18</v>
      </c>
      <c r="D32" s="28" t="s">
        <v>42</v>
      </c>
      <c r="E32" s="20"/>
      <c r="F32" s="20"/>
      <c r="G32" s="17"/>
      <c r="H32" s="17"/>
      <c r="I32" s="17"/>
      <c r="J32" s="17"/>
      <c r="K32" s="17"/>
      <c r="O32" s="17"/>
      <c r="P32" s="17"/>
      <c r="Q32" s="17"/>
      <c r="R32" s="17">
        <f>+O32-N32</f>
        <v>0</v>
      </c>
      <c r="S32" s="17">
        <f t="shared" ref="S32:X32" si="8">+P32-O32</f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  <c r="Y32" s="17">
        <f>+V32-U32</f>
        <v>0</v>
      </c>
      <c r="Z32" s="17">
        <f>+W32-V32</f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>
        <f t="shared" ref="AT32" si="9">+AB32-AA32</f>
        <v>0</v>
      </c>
      <c r="AU32" s="1"/>
      <c r="AV32" s="1"/>
      <c r="AW32" s="1"/>
    </row>
    <row r="33" spans="1:49" s="5" customFormat="1" ht="15.75" customHeight="1" thickTop="1" thickBot="1" x14ac:dyDescent="0.25">
      <c r="A33" s="92"/>
      <c r="B33" s="94"/>
      <c r="C33" s="27" t="s">
        <v>75</v>
      </c>
      <c r="D33" s="28">
        <v>192</v>
      </c>
      <c r="E33" s="17">
        <v>0</v>
      </c>
      <c r="F33" s="75">
        <v>0</v>
      </c>
      <c r="G33" s="75">
        <v>5648</v>
      </c>
      <c r="H33" s="75">
        <v>10838</v>
      </c>
      <c r="I33" s="75">
        <f>313077/31</f>
        <v>10099.258064516129</v>
      </c>
      <c r="J33" s="75">
        <v>7102</v>
      </c>
      <c r="K33" s="75">
        <f>35351/31</f>
        <v>1140.3548387096773</v>
      </c>
      <c r="L33" s="75">
        <f>256881/31</f>
        <v>8286.4838709677424</v>
      </c>
      <c r="M33" s="75">
        <f>257608/30</f>
        <v>8586.9333333333325</v>
      </c>
      <c r="N33" s="75">
        <f>312614/31</f>
        <v>10084.322580645161</v>
      </c>
      <c r="O33" s="75">
        <f>279164/30</f>
        <v>9305.4666666666672</v>
      </c>
      <c r="P33" s="17">
        <v>9387</v>
      </c>
      <c r="Q33" s="17">
        <v>8595</v>
      </c>
      <c r="R33" s="17">
        <v>7210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f>+AS33-AR33</f>
        <v>0</v>
      </c>
      <c r="AU33" s="1"/>
      <c r="AV33" s="1"/>
      <c r="AW33" s="1"/>
    </row>
    <row r="34" spans="1:49" s="5" customFormat="1" ht="15.75" customHeight="1" thickTop="1" thickBot="1" x14ac:dyDescent="0.25">
      <c r="A34" s="92"/>
      <c r="B34" s="94"/>
      <c r="C34" s="27" t="s">
        <v>18</v>
      </c>
      <c r="D34" s="28">
        <v>8</v>
      </c>
      <c r="E34" s="75">
        <v>1596</v>
      </c>
      <c r="F34" s="75">
        <v>7352.1</v>
      </c>
      <c r="G34" s="75">
        <v>6867</v>
      </c>
      <c r="H34" s="75">
        <v>4484</v>
      </c>
      <c r="I34" s="75">
        <f>168000/31</f>
        <v>5419.3548387096771</v>
      </c>
      <c r="J34" s="75">
        <v>445</v>
      </c>
      <c r="K34" s="75">
        <f>71580/31</f>
        <v>2309.0322580645161</v>
      </c>
      <c r="L34" s="75">
        <f>165606/31</f>
        <v>5342.1290322580644</v>
      </c>
      <c r="M34" s="75">
        <f>169662/30</f>
        <v>5655.4</v>
      </c>
      <c r="N34" s="75">
        <f>78726/31</f>
        <v>2539.5483870967741</v>
      </c>
      <c r="O34" s="75">
        <f>200214/30</f>
        <v>6673.8</v>
      </c>
      <c r="P34" s="17">
        <v>4552</v>
      </c>
      <c r="Q34" s="17">
        <v>4647</v>
      </c>
      <c r="R34" s="17">
        <v>7340</v>
      </c>
      <c r="S34" s="17">
        <v>4824</v>
      </c>
      <c r="T34" s="17">
        <v>2915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f>+AS34-AR34</f>
        <v>0</v>
      </c>
      <c r="AU34" s="1"/>
      <c r="AV34" s="1"/>
      <c r="AW34" s="1"/>
    </row>
    <row r="35" spans="1:49" s="5" customFormat="1" ht="19.5" hidden="1" customHeight="1" thickTop="1" thickBot="1" x14ac:dyDescent="0.25">
      <c r="A35" s="92" t="s">
        <v>70</v>
      </c>
      <c r="B35" s="77" t="s">
        <v>43</v>
      </c>
      <c r="C35" s="27" t="s">
        <v>7</v>
      </c>
      <c r="D35" s="28" t="s">
        <v>16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/>
      <c r="O35" s="7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>
        <f t="shared" ref="AT35:AT40" si="10">+AN35-AM35</f>
        <v>0</v>
      </c>
      <c r="AU35" s="1"/>
      <c r="AV35" s="1"/>
      <c r="AW35" s="1"/>
    </row>
    <row r="36" spans="1:49" s="5" customFormat="1" ht="19.5" hidden="1" customHeight="1" thickTop="1" thickBot="1" x14ac:dyDescent="0.25">
      <c r="A36" s="93"/>
      <c r="B36" s="76" t="s">
        <v>32</v>
      </c>
      <c r="C36" s="27" t="s">
        <v>7</v>
      </c>
      <c r="D36" s="28" t="s">
        <v>33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/>
      <c r="O36" s="7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>
        <f t="shared" si="10"/>
        <v>0</v>
      </c>
      <c r="AU36" s="1"/>
      <c r="AV36" s="1"/>
      <c r="AW36" s="1"/>
    </row>
    <row r="37" spans="1:49" s="5" customFormat="1" ht="19.5" customHeight="1" thickTop="1" thickBot="1" x14ac:dyDescent="0.25">
      <c r="A37" s="76"/>
      <c r="B37" s="39"/>
      <c r="C37" s="27" t="s">
        <v>74</v>
      </c>
      <c r="D37" s="28">
        <v>67</v>
      </c>
      <c r="E37" s="75">
        <v>812</v>
      </c>
      <c r="F37" s="75">
        <v>753.1</v>
      </c>
      <c r="G37" s="75">
        <v>1614</v>
      </c>
      <c r="H37" s="75">
        <v>1430</v>
      </c>
      <c r="I37" s="75">
        <f>38607/31</f>
        <v>1245.3870967741937</v>
      </c>
      <c r="J37" s="75">
        <v>1126</v>
      </c>
      <c r="K37" s="75">
        <v>425.12903225806451</v>
      </c>
      <c r="L37" s="75">
        <f>39858/31</f>
        <v>1285.741935483871</v>
      </c>
      <c r="M37" s="75">
        <f>64552/30</f>
        <v>2151.7333333333331</v>
      </c>
      <c r="N37" s="75">
        <f>51433/31</f>
        <v>1659.1290322580646</v>
      </c>
      <c r="O37" s="75">
        <f>67304/30</f>
        <v>2243.4666666666667</v>
      </c>
      <c r="P37" s="17">
        <v>1831</v>
      </c>
      <c r="Q37" s="17">
        <v>2831</v>
      </c>
      <c r="R37" s="17">
        <v>2488</v>
      </c>
      <c r="S37" s="17">
        <v>2800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936</v>
      </c>
      <c r="AF37" s="17">
        <v>2275</v>
      </c>
      <c r="AG37" s="17">
        <v>2971.0322580645161</v>
      </c>
      <c r="AH37" s="17">
        <v>2578.1</v>
      </c>
      <c r="AI37" s="17">
        <v>3190.7741935483873</v>
      </c>
      <c r="AJ37" s="17">
        <v>1191.5806451612902</v>
      </c>
      <c r="AK37" s="17">
        <v>952</v>
      </c>
      <c r="AL37" s="17">
        <v>2126</v>
      </c>
      <c r="AM37" s="17">
        <v>656</v>
      </c>
      <c r="AN37" s="17">
        <v>0</v>
      </c>
      <c r="AO37" s="17">
        <v>0</v>
      </c>
      <c r="AP37" s="17">
        <v>322</v>
      </c>
      <c r="AQ37" s="17">
        <v>1233.0967741935483</v>
      </c>
      <c r="AR37" s="17">
        <v>0</v>
      </c>
      <c r="AS37" s="17">
        <v>2996.9354838709678</v>
      </c>
      <c r="AT37" s="17">
        <f>+AS37-AR37</f>
        <v>2996.9354838709678</v>
      </c>
      <c r="AU37" s="1"/>
      <c r="AV37" s="1"/>
      <c r="AW37" s="1"/>
    </row>
    <row r="38" spans="1:49" s="5" customFormat="1" ht="19.5" customHeight="1" thickTop="1" thickBot="1" x14ac:dyDescent="0.25">
      <c r="A38" s="76"/>
      <c r="B38" s="39"/>
      <c r="C38" s="27" t="s">
        <v>73</v>
      </c>
      <c r="D38" s="28">
        <v>131</v>
      </c>
      <c r="E38" s="75">
        <v>3435</v>
      </c>
      <c r="F38" s="75">
        <v>3462.1</v>
      </c>
      <c r="G38" s="75">
        <v>3094</v>
      </c>
      <c r="H38" s="75">
        <v>3008.7</v>
      </c>
      <c r="I38" s="75">
        <f>95063/31</f>
        <v>3066.5483870967741</v>
      </c>
      <c r="J38" s="75">
        <v>3063</v>
      </c>
      <c r="K38" s="75">
        <f>93928/31</f>
        <v>3029.9354838709678</v>
      </c>
      <c r="L38" s="75">
        <f>90998/31</f>
        <v>2935.4193548387098</v>
      </c>
      <c r="M38" s="75">
        <f>93778/30</f>
        <v>3125.9333333333334</v>
      </c>
      <c r="N38" s="75">
        <f>92417/31</f>
        <v>2981.1935483870966</v>
      </c>
      <c r="O38" s="75">
        <f>85419/30</f>
        <v>2847.3</v>
      </c>
      <c r="P38" s="17">
        <v>2796</v>
      </c>
      <c r="Q38" s="17">
        <v>2686</v>
      </c>
      <c r="R38" s="17">
        <v>2515</v>
      </c>
      <c r="S38" s="17">
        <v>2387</v>
      </c>
      <c r="T38" s="17">
        <v>2299</v>
      </c>
      <c r="U38" s="17">
        <v>2041</v>
      </c>
      <c r="V38" s="17">
        <v>2072</v>
      </c>
      <c r="W38" s="17">
        <v>1973</v>
      </c>
      <c r="X38" s="17">
        <v>1856</v>
      </c>
      <c r="Y38" s="17">
        <v>1755</v>
      </c>
      <c r="Z38" s="17">
        <v>1703</v>
      </c>
      <c r="AA38" s="17">
        <v>1649</v>
      </c>
      <c r="AB38" s="17">
        <v>1535</v>
      </c>
      <c r="AC38" s="17">
        <v>1558</v>
      </c>
      <c r="AD38" s="17">
        <v>1452</v>
      </c>
      <c r="AE38" s="17">
        <v>1245</v>
      </c>
      <c r="AF38" s="17">
        <v>1214</v>
      </c>
      <c r="AG38" s="17">
        <v>1795.4516129032259</v>
      </c>
      <c r="AH38" s="17">
        <v>861.3</v>
      </c>
      <c r="AI38" s="17">
        <v>222.29032258064515</v>
      </c>
      <c r="AJ38" s="17">
        <v>2089.9354838709678</v>
      </c>
      <c r="AK38" s="17">
        <v>2018</v>
      </c>
      <c r="AL38" s="17">
        <v>1929</v>
      </c>
      <c r="AM38" s="17">
        <v>1730</v>
      </c>
      <c r="AN38" s="17">
        <v>1518</v>
      </c>
      <c r="AO38" s="17">
        <v>1649.9354838709678</v>
      </c>
      <c r="AP38" s="17">
        <v>1451</v>
      </c>
      <c r="AQ38" s="17">
        <v>1405.6774193548388</v>
      </c>
      <c r="AR38" s="17">
        <v>1358</v>
      </c>
      <c r="AS38" s="17">
        <v>1333.6774193548388</v>
      </c>
      <c r="AT38" s="17">
        <f>+AS38-AR38</f>
        <v>-24.322580645161224</v>
      </c>
      <c r="AU38" s="1"/>
      <c r="AV38" s="1"/>
      <c r="AW38" s="1"/>
    </row>
    <row r="39" spans="1:49" s="5" customFormat="1" ht="19.5" hidden="1" customHeight="1" thickTop="1" thickBot="1" x14ac:dyDescent="0.25">
      <c r="A39" s="76"/>
      <c r="B39" s="39"/>
      <c r="C39" s="27" t="s">
        <v>72</v>
      </c>
      <c r="D39" s="28">
        <v>95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>
        <f t="shared" si="10"/>
        <v>0</v>
      </c>
      <c r="AU39" s="1"/>
      <c r="AV39" s="1"/>
      <c r="AW39" s="1"/>
    </row>
    <row r="40" spans="1:49" s="5" customFormat="1" ht="19.5" hidden="1" customHeight="1" thickTop="1" thickBot="1" x14ac:dyDescent="0.25">
      <c r="A40" s="76"/>
      <c r="B40" s="39"/>
      <c r="C40" s="27" t="s">
        <v>18</v>
      </c>
      <c r="D40" s="28">
        <v>102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>
        <f t="shared" si="10"/>
        <v>0</v>
      </c>
      <c r="AU40" s="1"/>
      <c r="AV40" s="1"/>
      <c r="AW40" s="1"/>
    </row>
    <row r="41" spans="1:49" s="5" customFormat="1" ht="19.5" customHeight="1" thickTop="1" thickBot="1" x14ac:dyDescent="0.25">
      <c r="A41" s="73"/>
      <c r="B41" s="39"/>
      <c r="C41" s="27" t="s">
        <v>82</v>
      </c>
      <c r="D41" s="28">
        <v>95</v>
      </c>
      <c r="E41" s="75">
        <v>807</v>
      </c>
      <c r="F41" s="75">
        <v>949.1</v>
      </c>
      <c r="G41" s="75">
        <v>968</v>
      </c>
      <c r="H41" s="75">
        <v>1711</v>
      </c>
      <c r="I41" s="75">
        <f>88291/31</f>
        <v>2848.0967741935483</v>
      </c>
      <c r="J41" s="75">
        <v>4321</v>
      </c>
      <c r="K41" s="75">
        <f>136231/31</f>
        <v>4394.5483870967746</v>
      </c>
      <c r="L41" s="75">
        <f>159098/31</f>
        <v>5132.1935483870966</v>
      </c>
      <c r="M41" s="75">
        <f>148440/30</f>
        <v>4948</v>
      </c>
      <c r="N41" s="75">
        <f>194945/31</f>
        <v>6288.5483870967746</v>
      </c>
      <c r="O41" s="75">
        <f>242034/30</f>
        <v>8067.8</v>
      </c>
      <c r="P41" s="17">
        <v>8620</v>
      </c>
      <c r="Q41" s="17">
        <v>9491</v>
      </c>
      <c r="R41" s="17">
        <v>9744</v>
      </c>
      <c r="S41" s="17">
        <v>10101</v>
      </c>
      <c r="T41" s="17">
        <v>11400</v>
      </c>
      <c r="U41" s="17">
        <v>703</v>
      </c>
      <c r="V41" s="17">
        <v>0</v>
      </c>
      <c r="W41" s="17">
        <v>4984</v>
      </c>
      <c r="X41" s="17">
        <v>1772</v>
      </c>
      <c r="Y41" s="17">
        <v>713</v>
      </c>
      <c r="Z41" s="17">
        <v>9275</v>
      </c>
      <c r="AA41" s="17">
        <v>5190</v>
      </c>
      <c r="AB41" s="17">
        <v>4442</v>
      </c>
      <c r="AC41" s="17">
        <v>7791</v>
      </c>
      <c r="AD41" s="17">
        <v>7191</v>
      </c>
      <c r="AE41" s="17">
        <v>7072</v>
      </c>
      <c r="AF41" s="17">
        <v>7355</v>
      </c>
      <c r="AG41" s="17">
        <v>9943.2580645161288</v>
      </c>
      <c r="AH41" s="17">
        <v>8877.1666666666661</v>
      </c>
      <c r="AI41" s="17">
        <v>8446.2903225806458</v>
      </c>
      <c r="AJ41" s="17">
        <v>7562.6451612903229</v>
      </c>
      <c r="AK41" s="17">
        <v>11875</v>
      </c>
      <c r="AL41" s="17">
        <v>12767</v>
      </c>
      <c r="AM41" s="17">
        <v>7541</v>
      </c>
      <c r="AN41" s="17">
        <v>9591</v>
      </c>
      <c r="AO41" s="17">
        <v>13874.838709677419</v>
      </c>
      <c r="AP41" s="17">
        <v>21121</v>
      </c>
      <c r="AQ41" s="17">
        <v>0</v>
      </c>
      <c r="AR41" s="17">
        <v>13660</v>
      </c>
      <c r="AS41" s="17">
        <v>14672.58064516129</v>
      </c>
      <c r="AT41" s="17">
        <f>+AS41-AR41</f>
        <v>1012.5806451612898</v>
      </c>
      <c r="AU41" s="1"/>
      <c r="AV41" s="1"/>
      <c r="AW41" s="1"/>
    </row>
    <row r="42" spans="1:49" s="5" customFormat="1" ht="20.25" customHeight="1" thickTop="1" x14ac:dyDescent="0.2">
      <c r="B42" s="44"/>
      <c r="C42" s="81" t="s">
        <v>48</v>
      </c>
      <c r="D42" s="81"/>
      <c r="E42" s="40">
        <f>+SUM(E33:E41)</f>
        <v>6650</v>
      </c>
      <c r="F42" s="40">
        <f>+SUM(F33:F41)</f>
        <v>12516.400000000001</v>
      </c>
      <c r="G42" s="40">
        <f>+SUM(G33:G41)</f>
        <v>18191</v>
      </c>
      <c r="H42" s="40">
        <f>+SUM(H33:H41)</f>
        <v>21471.7</v>
      </c>
      <c r="I42" s="40">
        <f t="shared" ref="I42:N42" si="11">+SUM(I33:I41)</f>
        <v>22678.645161290322</v>
      </c>
      <c r="J42" s="40">
        <f t="shared" si="11"/>
        <v>16057</v>
      </c>
      <c r="K42" s="40">
        <f t="shared" si="11"/>
        <v>11299</v>
      </c>
      <c r="L42" s="40">
        <f t="shared" si="11"/>
        <v>22981.967741935485</v>
      </c>
      <c r="M42" s="40">
        <f t="shared" si="11"/>
        <v>24468</v>
      </c>
      <c r="N42" s="40">
        <f t="shared" si="11"/>
        <v>23552.741935483871</v>
      </c>
      <c r="O42" s="40">
        <f>+SUM(O33:O41)</f>
        <v>29137.833333333332</v>
      </c>
      <c r="P42" s="40">
        <f>+SUM(P33:P41)</f>
        <v>27186</v>
      </c>
      <c r="Q42" s="40">
        <f t="shared" ref="Q42:V42" si="12">+SUM(Q33:Q41)</f>
        <v>28250</v>
      </c>
      <c r="R42" s="40">
        <f t="shared" si="12"/>
        <v>29297</v>
      </c>
      <c r="S42" s="40">
        <f t="shared" si="12"/>
        <v>20112</v>
      </c>
      <c r="T42" s="40">
        <f t="shared" si="12"/>
        <v>16614</v>
      </c>
      <c r="U42" s="40">
        <f t="shared" si="12"/>
        <v>2744</v>
      </c>
      <c r="V42" s="40">
        <f t="shared" si="12"/>
        <v>2072</v>
      </c>
      <c r="W42" s="40">
        <f t="shared" ref="W42:AB42" si="13">+SUM(W33:W41)</f>
        <v>6957</v>
      </c>
      <c r="X42" s="40">
        <f t="shared" si="13"/>
        <v>3628</v>
      </c>
      <c r="Y42" s="40">
        <f t="shared" si="13"/>
        <v>2468</v>
      </c>
      <c r="Z42" s="40">
        <f t="shared" si="13"/>
        <v>10978</v>
      </c>
      <c r="AA42" s="40">
        <f t="shared" si="13"/>
        <v>6839</v>
      </c>
      <c r="AB42" s="40">
        <f t="shared" si="13"/>
        <v>5977</v>
      </c>
      <c r="AC42" s="40">
        <f>SUM(AC33:AC41)</f>
        <v>9349</v>
      </c>
      <c r="AD42" s="40">
        <f>SUM(AD33:AD41)</f>
        <v>8643</v>
      </c>
      <c r="AE42" s="40">
        <f t="shared" ref="AE42:AG42" si="14">+SUM(AE33:AE41)</f>
        <v>9253</v>
      </c>
      <c r="AF42" s="40">
        <f t="shared" si="14"/>
        <v>10844</v>
      </c>
      <c r="AG42" s="40">
        <f t="shared" si="14"/>
        <v>14709.741935483871</v>
      </c>
      <c r="AH42" s="40">
        <f t="shared" ref="AH42" si="15">+SUM(AH33:AH41)</f>
        <v>12316.566666666666</v>
      </c>
      <c r="AI42" s="40">
        <f>+SUM(AI33:AI41)</f>
        <v>11859.354838709678</v>
      </c>
      <c r="AJ42" s="40">
        <f t="shared" ref="AJ42:AO42" si="16">+SUM(AJ33:AJ41)</f>
        <v>10844.161290322581</v>
      </c>
      <c r="AK42" s="40">
        <f t="shared" si="16"/>
        <v>14845</v>
      </c>
      <c r="AL42" s="40">
        <f t="shared" si="16"/>
        <v>16822</v>
      </c>
      <c r="AM42" s="40">
        <f t="shared" si="16"/>
        <v>9927</v>
      </c>
      <c r="AN42" s="40">
        <f t="shared" si="16"/>
        <v>11109</v>
      </c>
      <c r="AO42" s="40">
        <f t="shared" si="16"/>
        <v>15524.774193548386</v>
      </c>
      <c r="AP42" s="40">
        <f t="shared" ref="AP42" si="17">+SUM(AP33:AP41)</f>
        <v>22894</v>
      </c>
      <c r="AQ42" s="40">
        <f>+SUM(AQ33:AQ41)</f>
        <v>2638.7741935483873</v>
      </c>
      <c r="AR42" s="40">
        <f>+SUM(AR33:AR41)</f>
        <v>15018</v>
      </c>
      <c r="AS42" s="40">
        <f>+SUM(AS33:AS41)</f>
        <v>19003.193548387098</v>
      </c>
      <c r="AT42" s="40">
        <f>SUM(AT33:AT41)</f>
        <v>3985.1935483870966</v>
      </c>
      <c r="AU42" s="1"/>
      <c r="AV42" s="1"/>
      <c r="AW42" s="1"/>
    </row>
    <row r="43" spans="1:49" s="46" customFormat="1" ht="20.25" customHeight="1" x14ac:dyDescent="0.2">
      <c r="B43" s="47"/>
      <c r="C43" s="48"/>
      <c r="D43" s="48"/>
      <c r="E43" s="51"/>
      <c r="F43" s="51"/>
      <c r="G43" s="51"/>
      <c r="H43" s="51"/>
      <c r="I43" s="51"/>
      <c r="J43" s="51"/>
      <c r="K43" s="51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</row>
    <row r="44" spans="1:49" s="5" customFormat="1" ht="41.25" customHeight="1" thickBot="1" x14ac:dyDescent="0.25">
      <c r="B44" s="45"/>
      <c r="C44" s="80" t="s">
        <v>78</v>
      </c>
      <c r="D44" s="80"/>
      <c r="E44" s="70">
        <f>+E26+E31+E42</f>
        <v>37951</v>
      </c>
      <c r="F44" s="70">
        <f>+F26+F31+F42</f>
        <v>47123.5</v>
      </c>
      <c r="G44" s="70">
        <f>+G26+G31+G42</f>
        <v>51355</v>
      </c>
      <c r="H44" s="70">
        <f>+H26+H31+H42</f>
        <v>53767.42</v>
      </c>
      <c r="I44" s="70">
        <f>+I26+I31+I42</f>
        <v>56575.06451612903</v>
      </c>
      <c r="J44" s="70">
        <f>+J26+J31+J42-1</f>
        <v>49988</v>
      </c>
      <c r="K44" s="70">
        <f t="shared" ref="K44:Q44" si="18">+K26+K31+K42</f>
        <v>43916.645161290318</v>
      </c>
      <c r="L44" s="70">
        <f t="shared" si="18"/>
        <v>56370.354838709682</v>
      </c>
      <c r="M44" s="70">
        <f t="shared" si="18"/>
        <v>59151.3</v>
      </c>
      <c r="N44" s="70">
        <f t="shared" si="18"/>
        <v>56044.161290322583</v>
      </c>
      <c r="O44" s="70">
        <f t="shared" si="18"/>
        <v>63738.3</v>
      </c>
      <c r="P44" s="70">
        <f t="shared" si="18"/>
        <v>59732</v>
      </c>
      <c r="Q44" s="70">
        <f t="shared" si="18"/>
        <v>59804</v>
      </c>
      <c r="R44" s="70">
        <f>+R26+R31+R42-1</f>
        <v>61159</v>
      </c>
      <c r="S44" s="70">
        <f>+S26+S31+S42+2</f>
        <v>50534</v>
      </c>
      <c r="T44" s="70">
        <f>+T26+T31+T42</f>
        <v>45801</v>
      </c>
      <c r="U44" s="70">
        <f>+U26+U31+U42+1</f>
        <v>31547</v>
      </c>
      <c r="V44" s="70">
        <f>+V26+V31+V42</f>
        <v>29940</v>
      </c>
      <c r="W44" s="70">
        <f>+W26+W31+W42</f>
        <v>34731</v>
      </c>
      <c r="X44" s="70">
        <f>+X26+X31+X42-1</f>
        <v>31214</v>
      </c>
      <c r="Y44" s="70">
        <f>+Y26+Y31+Y42+1</f>
        <v>29165</v>
      </c>
      <c r="Z44" s="70">
        <f>+Z26+Z31+Z42-1</f>
        <v>37851</v>
      </c>
      <c r="AA44" s="70">
        <f>+AA26+AA31+AA42-1</f>
        <v>33484</v>
      </c>
      <c r="AB44" s="70">
        <f>+AB26+AB31+AB42-1</f>
        <v>31624</v>
      </c>
      <c r="AC44" s="70">
        <f t="shared" ref="AC44:AG44" si="19">+AC26+AC31+AC42</f>
        <v>35387</v>
      </c>
      <c r="AD44" s="70">
        <f t="shared" si="19"/>
        <v>35037</v>
      </c>
      <c r="AE44" s="70">
        <f t="shared" si="19"/>
        <v>34823</v>
      </c>
      <c r="AF44" s="70">
        <f t="shared" si="19"/>
        <v>36452</v>
      </c>
      <c r="AG44" s="70">
        <f t="shared" si="19"/>
        <v>41128.032258064515</v>
      </c>
      <c r="AH44" s="70">
        <f t="shared" ref="AH44:AI44" si="20">+AH26+AH31+AH42</f>
        <v>38881.399999999994</v>
      </c>
      <c r="AI44" s="70">
        <f t="shared" si="20"/>
        <v>38887.645161290318</v>
      </c>
      <c r="AJ44" s="70">
        <f t="shared" ref="AJ44:AT44" si="21">+AJ26+AJ31+AJ42</f>
        <v>37699.645161290318</v>
      </c>
      <c r="AK44" s="70">
        <f t="shared" si="21"/>
        <v>41292</v>
      </c>
      <c r="AL44" s="70">
        <f t="shared" si="21"/>
        <v>44285</v>
      </c>
      <c r="AM44" s="70">
        <f t="shared" si="21"/>
        <v>37924</v>
      </c>
      <c r="AN44" s="70">
        <f t="shared" si="21"/>
        <v>38603</v>
      </c>
      <c r="AO44" s="70">
        <f t="shared" si="21"/>
        <v>42524.516129032258</v>
      </c>
      <c r="AP44" s="70">
        <f t="shared" ref="AP44:AR44" si="22">+AP26+AP31+AP42</f>
        <v>49246</v>
      </c>
      <c r="AQ44" s="70">
        <f t="shared" si="22"/>
        <v>28976.419354838705</v>
      </c>
      <c r="AR44" s="70">
        <f t="shared" si="22"/>
        <v>41899</v>
      </c>
      <c r="AS44" s="70">
        <f t="shared" ref="AS44" si="23">+AS26+AS31+AS42</f>
        <v>45390.387096774197</v>
      </c>
      <c r="AT44" s="70">
        <f t="shared" si="21"/>
        <v>3491.3870967741937</v>
      </c>
      <c r="AU44" s="1"/>
      <c r="AV44" s="1"/>
      <c r="AW44" s="1"/>
    </row>
    <row r="45" spans="1:49" ht="18" hidden="1" customHeight="1" thickTop="1" x14ac:dyDescent="0.2">
      <c r="E45" s="3"/>
      <c r="F45" s="3"/>
      <c r="G45" s="3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79"/>
      <c r="AN45" s="79"/>
      <c r="AO45" s="79"/>
      <c r="AP45" s="79"/>
      <c r="AQ45" s="79"/>
      <c r="AR45" s="79"/>
      <c r="AS45" s="79"/>
    </row>
    <row r="46" spans="1:49" ht="13.5" thickTop="1" x14ac:dyDescent="0.2">
      <c r="E46" s="3"/>
      <c r="V46" s="3"/>
    </row>
    <row r="47" spans="1:49" x14ac:dyDescent="0.2">
      <c r="F47" s="3"/>
      <c r="M47" s="3"/>
      <c r="U47" s="3"/>
      <c r="Z47" s="3"/>
    </row>
    <row r="49" spans="3:46" x14ac:dyDescent="0.2">
      <c r="E49" s="74"/>
      <c r="AT49" s="3"/>
    </row>
    <row r="59" spans="3:46" x14ac:dyDescent="0.2">
      <c r="C59" s="10"/>
    </row>
    <row r="61" spans="3:46" x14ac:dyDescent="0.2">
      <c r="D61" s="4"/>
    </row>
    <row r="92" ht="8.25" customHeight="1" x14ac:dyDescent="0.2"/>
    <row r="93" ht="14.25" customHeight="1" x14ac:dyDescent="0.2"/>
  </sheetData>
  <mergeCells count="20">
    <mergeCell ref="C42:D42"/>
    <mergeCell ref="C44:D44"/>
    <mergeCell ref="C26:D26"/>
    <mergeCell ref="A27:A30"/>
    <mergeCell ref="B27:B29"/>
    <mergeCell ref="C31:D31"/>
    <mergeCell ref="A32:A34"/>
    <mergeCell ref="B32:B34"/>
    <mergeCell ref="A35:A36"/>
    <mergeCell ref="A11:A25"/>
    <mergeCell ref="B11:B25"/>
    <mergeCell ref="A4:D4"/>
    <mergeCell ref="C9:D9"/>
    <mergeCell ref="Q9:AB9"/>
    <mergeCell ref="A7:AT7"/>
    <mergeCell ref="A5:AT5"/>
    <mergeCell ref="A6:AT6"/>
    <mergeCell ref="E9:P9"/>
    <mergeCell ref="AC9:AN9"/>
    <mergeCell ref="AO9:AS9"/>
  </mergeCells>
  <printOptions horizontalCentered="1" verticalCentered="1"/>
  <pageMargins left="0.74803149606299213" right="0.74803149606299213" top="0.39370078740157483" bottom="0.43307086614173229" header="0" footer="0.31496062992125984"/>
  <pageSetup paperSize="9" scale="44" pageOrder="overThenDown" orientation="landscape" r:id="rId1"/>
  <headerFooter alignWithMargins="0">
    <oddFooter>&amp;L&amp;"Arial,Cursiva"Fuente: Perupetro S.A.</oddFooter>
  </headerFooter>
  <rowBreaks count="1" manualBreakCount="1">
    <brk id="19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PETRÓLEO </vt:lpstr>
      <vt:lpstr>PETRÓLEO 2019-2022</vt:lpstr>
      <vt:lpstr>'PETRÓLEO '!Área_de_impresión</vt:lpstr>
      <vt:lpstr>'PETRÓLEO 2019-2022'!Área_de_impresión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2021-12-10T20:41:55Z</cp:lastPrinted>
  <dcterms:created xsi:type="dcterms:W3CDTF">1997-07-01T22:48:52Z</dcterms:created>
  <dcterms:modified xsi:type="dcterms:W3CDTF">2022-06-10T20:45:27Z</dcterms:modified>
</cp:coreProperties>
</file>